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showInkAnnotation="0" autoCompressPictures="0"/>
  <mc:AlternateContent xmlns:mc="http://schemas.openxmlformats.org/markup-compatibility/2006">
    <mc:Choice Requires="x15">
      <x15ac:absPath xmlns:x15ac="http://schemas.microsoft.com/office/spreadsheetml/2010/11/ac" url="/Users/josealbertopadronnavarta/Library/Mobile Documents/com~apple~CloudDocs/00_GitHub/SSF/Simple_Structural_Formulae/"/>
    </mc:Choice>
  </mc:AlternateContent>
  <xr:revisionPtr revIDLastSave="0" documentId="13_ncr:1_{5BFF7C99-F15C-404D-BF26-5347D857E8F2}" xr6:coauthVersionLast="47" xr6:coauthVersionMax="47" xr10:uidLastSave="{00000000-0000-0000-0000-000000000000}"/>
  <bookViews>
    <workbookView xWindow="0" yWindow="500" windowWidth="28800" windowHeight="16140" tabRatio="500" xr2:uid="{00000000-000D-0000-FFFF-FFFF00000000}"/>
  </bookViews>
  <sheets>
    <sheet name="Readme" sheetId="2" r:id="rId1"/>
    <sheet name="Oxide input (EPMA) wt.%" sheetId="1" r:id="rId2"/>
    <sheet name="Wet chemistry input (XRF)" sheetId="19" r:id="rId3"/>
    <sheet name="Elemental input (wt.%)" sheetId="18" r:id="rId4"/>
    <sheet name="Fe3+ from PerpleX (wt.%) O2" sheetId="15" r:id="rId5"/>
    <sheet name="apfu input (or at %)" sheetId="6" r:id="rId6"/>
    <sheet name="Fe2O3 to FeO" sheetId="3" r:id="rId7"/>
    <sheet name="Gadgets" sheetId="9" r:id="rId8"/>
    <sheet name="Bulk rock references" sheetId="17" r:id="rId9"/>
    <sheet name="FeO_EDS_Mgt" sheetId="10" r:id="rId10"/>
    <sheet name="MW" sheetId="16" r:id="rId11"/>
    <sheet name="CSpace" sheetId="12" r:id="rId12"/>
  </sheets>
  <definedNames>
    <definedName name="_xlnm._FilterDatabase" localSheetId="1" hidden="1">'Oxide input (EPMA) wt.%'!$A$1:$BQ$4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E12" i="15" l="1"/>
  <c r="BA12" i="15"/>
  <c r="BJ12" i="15" s="1"/>
  <c r="BI12" i="15"/>
  <c r="BS12" i="15"/>
  <c r="BT12" i="15"/>
  <c r="BU12" i="15"/>
  <c r="AC12" i="15"/>
  <c r="AA12" i="15"/>
  <c r="O12" i="15"/>
  <c r="M12" i="15"/>
  <c r="K12" i="15"/>
  <c r="I12" i="15"/>
  <c r="BA11" i="15"/>
  <c r="BL11" i="15" s="1"/>
  <c r="AE11" i="15"/>
  <c r="BA10" i="15"/>
  <c r="BW10" i="15" s="1"/>
  <c r="AE10" i="15"/>
  <c r="AF27" i="19"/>
  <c r="AO27" i="19"/>
  <c r="AH27" i="19" s="1"/>
  <c r="AP27" i="19"/>
  <c r="AT27" i="19" s="1"/>
  <c r="AS27" i="19"/>
  <c r="BI27" i="19"/>
  <c r="DB27" i="19" s="1"/>
  <c r="BJ27" i="19"/>
  <c r="DC27" i="19" s="1"/>
  <c r="BK27" i="19"/>
  <c r="DD27" i="19" s="1"/>
  <c r="BL27" i="19"/>
  <c r="BM27" i="19"/>
  <c r="BN27" i="19"/>
  <c r="DF27" i="19" s="1"/>
  <c r="BO27" i="19"/>
  <c r="DG27" i="19" s="1"/>
  <c r="BP27" i="19"/>
  <c r="DH27" i="19" s="1"/>
  <c r="BQ27" i="19"/>
  <c r="DI27" i="19" s="1"/>
  <c r="BR27" i="19"/>
  <c r="DJ27" i="19" s="1"/>
  <c r="BS27" i="19"/>
  <c r="DK27" i="19" s="1"/>
  <c r="BT27" i="19"/>
  <c r="DL27" i="19" s="1"/>
  <c r="BU27" i="19"/>
  <c r="BV27" i="19"/>
  <c r="BW27" i="19"/>
  <c r="BX27" i="19"/>
  <c r="BY27" i="19"/>
  <c r="BZ27" i="19"/>
  <c r="CA27" i="19"/>
  <c r="DO27" i="19" s="1"/>
  <c r="CB27" i="19"/>
  <c r="DP27" i="19" s="1"/>
  <c r="CF27" i="19"/>
  <c r="DE27" i="19"/>
  <c r="DM27" i="19"/>
  <c r="DN27" i="19"/>
  <c r="J27" i="19"/>
  <c r="K27" i="19"/>
  <c r="L27" i="19"/>
  <c r="M27" i="19"/>
  <c r="P27" i="19"/>
  <c r="Z27" i="19"/>
  <c r="H27" i="19"/>
  <c r="AP25" i="19"/>
  <c r="BK25" i="19" s="1"/>
  <c r="DD25" i="19" s="1"/>
  <c r="BE25" i="19"/>
  <c r="BF25" i="19"/>
  <c r="BI25" i="19"/>
  <c r="DB25" i="19" s="1"/>
  <c r="BJ25" i="19"/>
  <c r="DC25" i="19" s="1"/>
  <c r="BN25" i="19"/>
  <c r="CF25" i="19"/>
  <c r="BE26" i="19"/>
  <c r="BO26" i="19" s="1"/>
  <c r="DG26" i="19" s="1"/>
  <c r="CF26" i="19"/>
  <c r="CM26" i="19" s="1"/>
  <c r="CG26" i="19"/>
  <c r="CH26" i="19"/>
  <c r="CI26" i="19"/>
  <c r="CJ26" i="19"/>
  <c r="CK26" i="19"/>
  <c r="CL26" i="19"/>
  <c r="CS26" i="19"/>
  <c r="CT26" i="19"/>
  <c r="CU26" i="19"/>
  <c r="CV26" i="19"/>
  <c r="CW26" i="19"/>
  <c r="CX26" i="19"/>
  <c r="AS25" i="19"/>
  <c r="AO25" i="19"/>
  <c r="AH25" i="19" s="1"/>
  <c r="AS26" i="19"/>
  <c r="AO26" i="19"/>
  <c r="AH26" i="19" s="1"/>
  <c r="AF26" i="19"/>
  <c r="AD26" i="19"/>
  <c r="AC26" i="19"/>
  <c r="AB26" i="19"/>
  <c r="AP26" i="19" s="1"/>
  <c r="N26" i="19"/>
  <c r="N25" i="19"/>
  <c r="AF25" i="19" s="1"/>
  <c r="G14" i="16"/>
  <c r="AR6" i="17"/>
  <c r="AV6" i="17" s="1"/>
  <c r="AU6" i="17"/>
  <c r="AW6" i="17"/>
  <c r="AX6" i="17"/>
  <c r="AY6" i="17"/>
  <c r="BA6" i="17"/>
  <c r="BG6" i="17"/>
  <c r="BH6" i="17"/>
  <c r="BK6" i="17"/>
  <c r="BL6" i="17"/>
  <c r="BM6" i="17"/>
  <c r="DF6" i="17" s="1"/>
  <c r="BN6" i="17"/>
  <c r="DG6" i="17" s="1"/>
  <c r="BO6" i="17"/>
  <c r="BP6" i="17"/>
  <c r="BQ6" i="17"/>
  <c r="BR6" i="17"/>
  <c r="DJ6" i="17" s="1"/>
  <c r="BS6" i="17"/>
  <c r="BT6" i="17"/>
  <c r="BU6" i="17"/>
  <c r="BV6" i="17"/>
  <c r="DN6" i="17" s="1"/>
  <c r="BW6" i="17"/>
  <c r="BX6" i="17"/>
  <c r="BY6" i="17"/>
  <c r="BZ6" i="17"/>
  <c r="CA6" i="17"/>
  <c r="CB6" i="17"/>
  <c r="CC6" i="17"/>
  <c r="CE6" i="17" s="1"/>
  <c r="CH6" i="17"/>
  <c r="CJ6" i="17" s="1"/>
  <c r="CI6" i="17"/>
  <c r="CL6" i="17"/>
  <c r="CM6" i="17"/>
  <c r="CP6" i="17"/>
  <c r="CQ6" i="17"/>
  <c r="CT6" i="17"/>
  <c r="CU6" i="17"/>
  <c r="CX6" i="17"/>
  <c r="CY6" i="17"/>
  <c r="DD6" i="17"/>
  <c r="DE6" i="17"/>
  <c r="DH6" i="17"/>
  <c r="DI6" i="17"/>
  <c r="DK6" i="17"/>
  <c r="DL6" i="17"/>
  <c r="DM6" i="17"/>
  <c r="DO6" i="17"/>
  <c r="DP6" i="17"/>
  <c r="DQ6" i="17"/>
  <c r="AH6" i="17"/>
  <c r="P6" i="17"/>
  <c r="O6" i="17"/>
  <c r="DA5" i="17"/>
  <c r="CW5" i="17"/>
  <c r="CV5" i="17"/>
  <c r="CU5" i="17"/>
  <c r="CS5" i="17"/>
  <c r="CO5" i="17"/>
  <c r="CN5" i="17"/>
  <c r="CM5" i="17"/>
  <c r="CK5" i="17"/>
  <c r="CH5" i="17"/>
  <c r="CZ5" i="17" s="1"/>
  <c r="BZ5" i="17"/>
  <c r="BP5" i="17"/>
  <c r="BH5" i="17"/>
  <c r="BG5" i="17"/>
  <c r="AU5" i="17"/>
  <c r="AR5" i="17"/>
  <c r="BY5" i="17" s="1"/>
  <c r="AQ5" i="17"/>
  <c r="P5" i="17"/>
  <c r="AH5" i="17" s="1"/>
  <c r="AB2" i="19"/>
  <c r="AC2" i="19"/>
  <c r="AD2" i="19"/>
  <c r="AF2" i="19"/>
  <c r="AH2" i="19"/>
  <c r="AO2" i="19"/>
  <c r="AP2" i="19"/>
  <c r="AT2" i="19" s="1"/>
  <c r="AS2" i="19"/>
  <c r="AV2" i="19"/>
  <c r="BE2" i="19"/>
  <c r="CF2" i="19"/>
  <c r="CH2" i="19" s="1"/>
  <c r="CJ2" i="19"/>
  <c r="CK2" i="19"/>
  <c r="CN2" i="19"/>
  <c r="CR2" i="19"/>
  <c r="CS2" i="19"/>
  <c r="CV2" i="19"/>
  <c r="N3" i="19"/>
  <c r="AB3" i="19"/>
  <c r="AP3" i="19" s="1"/>
  <c r="AC3" i="19"/>
  <c r="AD3" i="19"/>
  <c r="AO3" i="19"/>
  <c r="AS3" i="19"/>
  <c r="BE3" i="19"/>
  <c r="CF3" i="19"/>
  <c r="CH3" i="19" s="1"/>
  <c r="CJ3" i="19"/>
  <c r="CL3" i="19"/>
  <c r="CN3" i="19"/>
  <c r="CR3" i="19"/>
  <c r="CT3" i="19"/>
  <c r="CV3" i="19"/>
  <c r="N4" i="19"/>
  <c r="AF4" i="19" s="1"/>
  <c r="AB4" i="19"/>
  <c r="AP4" i="19" s="1"/>
  <c r="AC4" i="19"/>
  <c r="AD4" i="19"/>
  <c r="AO4" i="19"/>
  <c r="AS4" i="19"/>
  <c r="AU4" i="19"/>
  <c r="BE4" i="19"/>
  <c r="CF4" i="19"/>
  <c r="CG4" i="19" s="1"/>
  <c r="CI4" i="19"/>
  <c r="CN4" i="19"/>
  <c r="CQ4" i="19"/>
  <c r="CV4" i="19"/>
  <c r="CY4" i="19"/>
  <c r="N5" i="19"/>
  <c r="AD5" i="19" s="1"/>
  <c r="AB5" i="19"/>
  <c r="AC5" i="19"/>
  <c r="AO5" i="19"/>
  <c r="AP5" i="19"/>
  <c r="AS5" i="19"/>
  <c r="AU5" i="19"/>
  <c r="BE5" i="19"/>
  <c r="CF5" i="19"/>
  <c r="CI5" i="19"/>
  <c r="CN5" i="19"/>
  <c r="CQ5" i="19"/>
  <c r="CV5" i="19"/>
  <c r="CY5" i="19"/>
  <c r="N6" i="19"/>
  <c r="AB6" i="19"/>
  <c r="AP6" i="19" s="1"/>
  <c r="AC6" i="19"/>
  <c r="AO6" i="19"/>
  <c r="AS6" i="19"/>
  <c r="BE6" i="19"/>
  <c r="CF6" i="19"/>
  <c r="CG6" i="19" s="1"/>
  <c r="CH6" i="19"/>
  <c r="CI6" i="19"/>
  <c r="CJ6" i="19"/>
  <c r="CL6" i="19"/>
  <c r="CM6" i="19"/>
  <c r="CN6" i="19"/>
  <c r="CP6" i="19"/>
  <c r="CQ6" i="19"/>
  <c r="CR6" i="19"/>
  <c r="CT6" i="19"/>
  <c r="CU6" i="19"/>
  <c r="CV6" i="19"/>
  <c r="CX6" i="19"/>
  <c r="CY6" i="19"/>
  <c r="AB7" i="19"/>
  <c r="AP7" i="19" s="1"/>
  <c r="AC7" i="19"/>
  <c r="AD7" i="19"/>
  <c r="AF7" i="19"/>
  <c r="AH7" i="19"/>
  <c r="AO7" i="19"/>
  <c r="AS7" i="19"/>
  <c r="BE7" i="19"/>
  <c r="CF7" i="19"/>
  <c r="CM7" i="19" s="1"/>
  <c r="CG7" i="19"/>
  <c r="CI7" i="19"/>
  <c r="CL7" i="19"/>
  <c r="CO7" i="19"/>
  <c r="CQ7" i="19"/>
  <c r="CT7" i="19"/>
  <c r="CW7" i="19"/>
  <c r="CY7" i="19"/>
  <c r="N8" i="19"/>
  <c r="AF8" i="19" s="1"/>
  <c r="AB8" i="19"/>
  <c r="AC8" i="19"/>
  <c r="AP8" i="19" s="1"/>
  <c r="AD8" i="19"/>
  <c r="AO8" i="19"/>
  <c r="AH8" i="19" s="1"/>
  <c r="AS8" i="19"/>
  <c r="BE8" i="19"/>
  <c r="CF8" i="19"/>
  <c r="CN8" i="19"/>
  <c r="CO8" i="19"/>
  <c r="CR8" i="19"/>
  <c r="CU8" i="19"/>
  <c r="CV8" i="19"/>
  <c r="N9" i="19"/>
  <c r="AD9" i="19" s="1"/>
  <c r="AB9" i="19"/>
  <c r="AP9" i="19" s="1"/>
  <c r="AC9" i="19"/>
  <c r="AF9" i="19"/>
  <c r="AH9" i="19"/>
  <c r="CO9" i="19" s="1"/>
  <c r="AO9" i="19"/>
  <c r="AS9" i="19"/>
  <c r="AX9" i="19"/>
  <c r="AY9" i="19"/>
  <c r="BE9" i="19"/>
  <c r="CF9" i="19"/>
  <c r="CP9" i="19" s="1"/>
  <c r="AB10" i="19"/>
  <c r="AC10" i="19"/>
  <c r="AD10" i="19"/>
  <c r="AF10" i="19"/>
  <c r="AO10" i="19"/>
  <c r="AP10" i="19"/>
  <c r="AS10" i="19"/>
  <c r="BE10" i="19"/>
  <c r="CF10" i="19"/>
  <c r="CN10" i="19" s="1"/>
  <c r="CM10" i="19"/>
  <c r="AB11" i="19"/>
  <c r="AC11" i="19"/>
  <c r="AP11" i="19" s="1"/>
  <c r="AD11" i="19"/>
  <c r="AF11" i="19"/>
  <c r="AO11" i="19"/>
  <c r="AS11" i="19"/>
  <c r="AT11" i="19"/>
  <c r="AV11" i="19"/>
  <c r="AW11" i="19"/>
  <c r="BE11" i="19"/>
  <c r="BP11" i="19"/>
  <c r="DH11" i="19" s="1"/>
  <c r="CF11" i="19"/>
  <c r="CV11" i="19" s="1"/>
  <c r="AB12" i="19"/>
  <c r="AC12" i="19"/>
  <c r="AD12" i="19"/>
  <c r="AF12" i="19"/>
  <c r="AO12" i="19"/>
  <c r="AP12" i="19"/>
  <c r="AS12" i="19"/>
  <c r="BE12" i="19"/>
  <c r="BF12" i="19"/>
  <c r="BL12" i="19"/>
  <c r="DE12" i="19" s="1"/>
  <c r="BN12" i="19"/>
  <c r="BY12" i="19"/>
  <c r="CF12" i="19"/>
  <c r="CG12" i="19"/>
  <c r="CJ12" i="19"/>
  <c r="CK12" i="19"/>
  <c r="CM12" i="19"/>
  <c r="CR12" i="19"/>
  <c r="CS12" i="19"/>
  <c r="CU12" i="19"/>
  <c r="CV12" i="19"/>
  <c r="CW12" i="19"/>
  <c r="AB13" i="19"/>
  <c r="AC13" i="19"/>
  <c r="AP13" i="19" s="1"/>
  <c r="AD13" i="19"/>
  <c r="AF13" i="19"/>
  <c r="AO13" i="19"/>
  <c r="AS13" i="19"/>
  <c r="BE13" i="19"/>
  <c r="CF13" i="19"/>
  <c r="CG13" i="19"/>
  <c r="CH13" i="19"/>
  <c r="CJ13" i="19"/>
  <c r="CK13" i="19"/>
  <c r="CM13" i="19"/>
  <c r="CN13" i="19"/>
  <c r="CO13" i="19"/>
  <c r="CP13" i="19"/>
  <c r="CR13" i="19"/>
  <c r="CS13" i="19"/>
  <c r="CU13" i="19"/>
  <c r="CV13" i="19"/>
  <c r="CW13" i="19"/>
  <c r="CX13" i="19"/>
  <c r="N14" i="19"/>
  <c r="AD14" i="19" s="1"/>
  <c r="AB14" i="19"/>
  <c r="AP14" i="19" s="1"/>
  <c r="AC14" i="19"/>
  <c r="AF14" i="19"/>
  <c r="AO14" i="19"/>
  <c r="AS14" i="19"/>
  <c r="AU14" i="19"/>
  <c r="AV14" i="19"/>
  <c r="BE14" i="19"/>
  <c r="CF14" i="19"/>
  <c r="CG14" i="19"/>
  <c r="CI14" i="19"/>
  <c r="CJ14" i="19"/>
  <c r="CL14" i="19"/>
  <c r="CM14" i="19"/>
  <c r="CN14" i="19"/>
  <c r="CO14" i="19"/>
  <c r="CQ14" i="19"/>
  <c r="CR14" i="19"/>
  <c r="CT14" i="19"/>
  <c r="CU14" i="19"/>
  <c r="CV14" i="19"/>
  <c r="CW14" i="19"/>
  <c r="CY14" i="19"/>
  <c r="N15" i="19"/>
  <c r="AD15" i="19" s="1"/>
  <c r="AB15" i="19"/>
  <c r="AP15" i="19" s="1"/>
  <c r="AY15" i="19" s="1"/>
  <c r="AC15" i="19"/>
  <c r="AH15" i="19"/>
  <c r="AO15" i="19"/>
  <c r="AS15" i="19"/>
  <c r="AT15" i="19"/>
  <c r="AV15" i="19"/>
  <c r="AX15" i="19"/>
  <c r="BE15" i="19"/>
  <c r="CF15" i="19"/>
  <c r="CL15" i="19" s="1"/>
  <c r="CG15" i="19"/>
  <c r="CH15" i="19"/>
  <c r="CK15" i="19"/>
  <c r="CM15" i="19"/>
  <c r="CN15" i="19"/>
  <c r="CP15" i="19"/>
  <c r="CR15" i="19"/>
  <c r="CS15" i="19"/>
  <c r="CT15" i="19"/>
  <c r="CW15" i="19"/>
  <c r="N17" i="19"/>
  <c r="AF17" i="19"/>
  <c r="AH17" i="19"/>
  <c r="AO17" i="19"/>
  <c r="AP17" i="19"/>
  <c r="BM17" i="19" s="1"/>
  <c r="DF17" i="19" s="1"/>
  <c r="AS17" i="19"/>
  <c r="BE17" i="19"/>
  <c r="BF17" i="19"/>
  <c r="BL17" i="19"/>
  <c r="BN17" i="19"/>
  <c r="BQ17" i="19"/>
  <c r="DI17" i="19" s="1"/>
  <c r="BR17" i="19"/>
  <c r="DJ17" i="19" s="1"/>
  <c r="BV17" i="19"/>
  <c r="DN17" i="19" s="1"/>
  <c r="CF17" i="19"/>
  <c r="CP17" i="19"/>
  <c r="DE17" i="19"/>
  <c r="N18" i="19"/>
  <c r="AF18" i="19" s="1"/>
  <c r="AO18" i="19"/>
  <c r="AH18" i="19" s="1"/>
  <c r="AP18" i="19"/>
  <c r="AS18" i="19"/>
  <c r="AT18" i="19"/>
  <c r="AX18" i="19"/>
  <c r="AY18" i="19"/>
  <c r="BE18" i="19"/>
  <c r="BF18" i="19"/>
  <c r="BI18" i="19"/>
  <c r="BJ18" i="19"/>
  <c r="DC18" i="19" s="1"/>
  <c r="BK18" i="19"/>
  <c r="BN18" i="19"/>
  <c r="BO18" i="19"/>
  <c r="DG18" i="19" s="1"/>
  <c r="BP18" i="19"/>
  <c r="BQ18" i="19"/>
  <c r="DI18" i="19" s="1"/>
  <c r="BR18" i="19"/>
  <c r="BS18" i="19"/>
  <c r="DK18" i="19" s="1"/>
  <c r="BU18" i="19"/>
  <c r="BW18" i="19"/>
  <c r="BY18" i="19"/>
  <c r="BZ18" i="19"/>
  <c r="CF18" i="19"/>
  <c r="DB18" i="19"/>
  <c r="DD18" i="19"/>
  <c r="DH18" i="19"/>
  <c r="DJ18" i="19"/>
  <c r="DM18" i="19"/>
  <c r="N19" i="19"/>
  <c r="AF19" i="19" s="1"/>
  <c r="AO19" i="19"/>
  <c r="AH19" i="19" s="1"/>
  <c r="AP19" i="19"/>
  <c r="AT19" i="19" s="1"/>
  <c r="AS19" i="19"/>
  <c r="AU19" i="19"/>
  <c r="BE19" i="19"/>
  <c r="CF19" i="19"/>
  <c r="CH19" i="19"/>
  <c r="CJ19" i="19"/>
  <c r="CK19" i="19"/>
  <c r="CL19" i="19"/>
  <c r="CM19" i="19"/>
  <c r="CP19" i="19"/>
  <c r="CQ19" i="19"/>
  <c r="CS19" i="19"/>
  <c r="CT19" i="19"/>
  <c r="CU19" i="19"/>
  <c r="CV19" i="19"/>
  <c r="CY19" i="19"/>
  <c r="M20" i="19"/>
  <c r="AF20" i="19" s="1"/>
  <c r="AO20" i="19"/>
  <c r="AH20" i="19" s="1"/>
  <c r="AS20" i="19"/>
  <c r="BE20" i="19"/>
  <c r="BF20" i="19"/>
  <c r="CF20" i="19"/>
  <c r="CG20" i="19" s="1"/>
  <c r="AF21" i="19"/>
  <c r="AH21" i="19"/>
  <c r="CA21" i="19" s="1"/>
  <c r="AO21" i="19"/>
  <c r="AP21" i="19"/>
  <c r="AS21" i="19"/>
  <c r="AT21" i="19"/>
  <c r="AU21" i="19"/>
  <c r="AW21" i="19"/>
  <c r="AX21" i="19"/>
  <c r="AY21" i="19"/>
  <c r="BE21" i="19"/>
  <c r="BF21" i="19"/>
  <c r="BI21" i="19"/>
  <c r="DB21" i="19" s="1"/>
  <c r="BJ21" i="19"/>
  <c r="BL21" i="19"/>
  <c r="DE21" i="19" s="1"/>
  <c r="BM21" i="19"/>
  <c r="BN21" i="19"/>
  <c r="DF21" i="19" s="1"/>
  <c r="BO21" i="19"/>
  <c r="DG21" i="19" s="1"/>
  <c r="BP21" i="19"/>
  <c r="DH21" i="19" s="1"/>
  <c r="BQ21" i="19"/>
  <c r="DI21" i="19" s="1"/>
  <c r="BR21" i="19"/>
  <c r="DJ21" i="19" s="1"/>
  <c r="BT21" i="19"/>
  <c r="BU21" i="19"/>
  <c r="BV21" i="19"/>
  <c r="BW21" i="19"/>
  <c r="BX21" i="19"/>
  <c r="BY21" i="19"/>
  <c r="BZ21" i="19"/>
  <c r="CF21" i="19"/>
  <c r="CH21" i="19"/>
  <c r="CI21" i="19"/>
  <c r="CQ21" i="19"/>
  <c r="CS21" i="19"/>
  <c r="DC21" i="19"/>
  <c r="DL21" i="19"/>
  <c r="DM21" i="19"/>
  <c r="DN21" i="19"/>
  <c r="N22" i="19"/>
  <c r="AF22" i="19" s="1"/>
  <c r="AO22" i="19"/>
  <c r="AP22" i="19"/>
  <c r="AV22" i="19" s="1"/>
  <c r="AS22" i="19"/>
  <c r="AT22" i="19"/>
  <c r="BE22" i="19"/>
  <c r="BF22" i="19"/>
  <c r="BI22" i="19"/>
  <c r="DB22" i="19" s="1"/>
  <c r="BJ22" i="19"/>
  <c r="DC22" i="19" s="1"/>
  <c r="BN22" i="19"/>
  <c r="BQ22" i="19"/>
  <c r="DI22" i="19" s="1"/>
  <c r="BR22" i="19"/>
  <c r="DJ22" i="19" s="1"/>
  <c r="BS22" i="19"/>
  <c r="DK22" i="19" s="1"/>
  <c r="BZ22" i="19"/>
  <c r="CA22" i="19"/>
  <c r="CF22" i="19"/>
  <c r="CG22" i="19"/>
  <c r="CH22" i="19"/>
  <c r="CI22" i="19"/>
  <c r="CJ22" i="19"/>
  <c r="CK22" i="19"/>
  <c r="CM22" i="19"/>
  <c r="CN22" i="19"/>
  <c r="CO22" i="19"/>
  <c r="CP22" i="19"/>
  <c r="CQ22" i="19"/>
  <c r="CR22" i="19"/>
  <c r="CS22" i="19"/>
  <c r="CU22" i="19"/>
  <c r="CV22" i="19"/>
  <c r="CW22" i="19"/>
  <c r="CX22" i="19"/>
  <c r="CY22" i="19"/>
  <c r="BH12" i="15" l="1"/>
  <c r="BG12" i="15"/>
  <c r="BF12" i="15"/>
  <c r="BR12" i="15"/>
  <c r="BQ12" i="15"/>
  <c r="CA12" i="15" s="1"/>
  <c r="BE12" i="15"/>
  <c r="BD12" i="15"/>
  <c r="BP12" i="15"/>
  <c r="BO12" i="15"/>
  <c r="BC12" i="15"/>
  <c r="BN12" i="15"/>
  <c r="BM12" i="15"/>
  <c r="BL12" i="15"/>
  <c r="BW12" i="15"/>
  <c r="BK12" i="15"/>
  <c r="BV12" i="15"/>
  <c r="BU11" i="15"/>
  <c r="BV11" i="15"/>
  <c r="BV10" i="15"/>
  <c r="BE11" i="15"/>
  <c r="BM11" i="15"/>
  <c r="BN11" i="15"/>
  <c r="BC11" i="15"/>
  <c r="BO11" i="15"/>
  <c r="BD11" i="15"/>
  <c r="BP11" i="15"/>
  <c r="BQ11" i="15"/>
  <c r="BF11" i="15"/>
  <c r="BR11" i="15"/>
  <c r="BG11" i="15"/>
  <c r="BS11" i="15"/>
  <c r="BH11" i="15"/>
  <c r="BT11" i="15"/>
  <c r="BI11" i="15"/>
  <c r="BJ11" i="15"/>
  <c r="BW11" i="15"/>
  <c r="BK11" i="15"/>
  <c r="BM10" i="15"/>
  <c r="BL10" i="15"/>
  <c r="BN10" i="15"/>
  <c r="BR10" i="15"/>
  <c r="BK10" i="15"/>
  <c r="BS10" i="15"/>
  <c r="BC10" i="15"/>
  <c r="BO10" i="15"/>
  <c r="BD10" i="15"/>
  <c r="BP10" i="15"/>
  <c r="BE10" i="15"/>
  <c r="BQ10" i="15"/>
  <c r="BF10" i="15"/>
  <c r="BG10" i="15"/>
  <c r="BH10" i="15"/>
  <c r="BT10" i="15"/>
  <c r="BI10" i="15"/>
  <c r="BU10" i="15"/>
  <c r="BJ10" i="15"/>
  <c r="CQ27" i="19"/>
  <c r="CR27" i="19"/>
  <c r="CS27" i="19"/>
  <c r="CT27" i="19"/>
  <c r="CW27" i="19"/>
  <c r="CX27" i="19"/>
  <c r="CK27" i="19"/>
  <c r="CO27" i="19"/>
  <c r="CN27" i="19"/>
  <c r="CP27" i="19"/>
  <c r="AY27" i="19"/>
  <c r="AX27" i="19"/>
  <c r="CD27" i="19" s="1"/>
  <c r="AW27" i="19"/>
  <c r="CH27" i="19"/>
  <c r="AV27" i="19"/>
  <c r="AU27" i="19"/>
  <c r="CC27" i="19"/>
  <c r="CG27" i="19"/>
  <c r="CY27" i="19"/>
  <c r="CM27" i="19"/>
  <c r="CL27" i="19"/>
  <c r="CV27" i="19"/>
  <c r="CJ27" i="19"/>
  <c r="CU27" i="19"/>
  <c r="CI27" i="19"/>
  <c r="BZ25" i="19"/>
  <c r="BX25" i="19"/>
  <c r="BY25" i="19"/>
  <c r="BW25" i="19"/>
  <c r="BV25" i="19"/>
  <c r="DN25" i="19" s="1"/>
  <c r="BU25" i="19"/>
  <c r="DM25" i="19" s="1"/>
  <c r="BT25" i="19"/>
  <c r="DL25" i="19" s="1"/>
  <c r="BS25" i="19"/>
  <c r="DK25" i="19" s="1"/>
  <c r="BR25" i="19"/>
  <c r="DJ25" i="19" s="1"/>
  <c r="BQ25" i="19"/>
  <c r="DI25" i="19" s="1"/>
  <c r="BM25" i="19"/>
  <c r="DF25" i="19" s="1"/>
  <c r="CT25" i="19"/>
  <c r="CI25" i="19"/>
  <c r="CU25" i="19"/>
  <c r="CV25" i="19"/>
  <c r="CJ25" i="19"/>
  <c r="CA25" i="19"/>
  <c r="DO25" i="19" s="1"/>
  <c r="CW25" i="19"/>
  <c r="CS25" i="19"/>
  <c r="CG25" i="19"/>
  <c r="CH25" i="19"/>
  <c r="CK25" i="19"/>
  <c r="CR25" i="19"/>
  <c r="CL25" i="19"/>
  <c r="BP25" i="19"/>
  <c r="DH25" i="19" s="1"/>
  <c r="BO25" i="19"/>
  <c r="DG25" i="19" s="1"/>
  <c r="BL25" i="19"/>
  <c r="DE25" i="19" s="1"/>
  <c r="N27" i="19"/>
  <c r="BZ26" i="19"/>
  <c r="BN26" i="19"/>
  <c r="BY26" i="19"/>
  <c r="BM26" i="19"/>
  <c r="DF26" i="19" s="1"/>
  <c r="BT26" i="19"/>
  <c r="DL26" i="19" s="1"/>
  <c r="BX26" i="19"/>
  <c r="BL26" i="19"/>
  <c r="DE26" i="19" s="1"/>
  <c r="BW26" i="19"/>
  <c r="BK26" i="19"/>
  <c r="DD26" i="19" s="1"/>
  <c r="BV26" i="19"/>
  <c r="DN26" i="19" s="1"/>
  <c r="BJ26" i="19"/>
  <c r="DC26" i="19" s="1"/>
  <c r="BU26" i="19"/>
  <c r="DM26" i="19" s="1"/>
  <c r="BI26" i="19"/>
  <c r="DB26" i="19" s="1"/>
  <c r="BS26" i="19"/>
  <c r="DK26" i="19" s="1"/>
  <c r="BR26" i="19"/>
  <c r="DJ26" i="19" s="1"/>
  <c r="BQ26" i="19"/>
  <c r="DI26" i="19" s="1"/>
  <c r="BP26" i="19"/>
  <c r="DH26" i="19" s="1"/>
  <c r="CA26" i="19"/>
  <c r="DO26" i="19" s="1"/>
  <c r="CQ25" i="19"/>
  <c r="CQ26" i="19"/>
  <c r="CP25" i="19"/>
  <c r="CP26" i="19"/>
  <c r="CO25" i="19"/>
  <c r="CR26" i="19"/>
  <c r="CO26" i="19"/>
  <c r="CN25" i="19"/>
  <c r="CN26" i="19"/>
  <c r="CY25" i="19"/>
  <c r="CM25" i="19"/>
  <c r="CY26" i="19"/>
  <c r="CX25" i="19"/>
  <c r="AW25" i="19"/>
  <c r="AY25" i="19"/>
  <c r="AT25" i="19"/>
  <c r="AU25" i="19"/>
  <c r="AV25" i="19"/>
  <c r="AX25" i="19"/>
  <c r="AW26" i="19"/>
  <c r="AV26" i="19"/>
  <c r="AU26" i="19"/>
  <c r="AT26" i="19"/>
  <c r="AY26" i="19"/>
  <c r="AX26" i="19"/>
  <c r="CW6" i="17"/>
  <c r="CO6" i="17"/>
  <c r="CV6" i="17"/>
  <c r="CN6" i="17"/>
  <c r="AZ6" i="17"/>
  <c r="CD6" i="17" s="1"/>
  <c r="DA6" i="17"/>
  <c r="CS6" i="17"/>
  <c r="CK6" i="17"/>
  <c r="CZ6" i="17"/>
  <c r="CR6" i="17"/>
  <c r="BA5" i="17"/>
  <c r="AY5" i="17"/>
  <c r="BN5" i="17"/>
  <c r="DG5" i="17" s="1"/>
  <c r="BW5" i="17"/>
  <c r="DO5" i="17" s="1"/>
  <c r="BR5" i="17"/>
  <c r="DJ5" i="17" s="1"/>
  <c r="AZ5" i="17"/>
  <c r="BO5" i="17"/>
  <c r="DH5" i="17" s="1"/>
  <c r="BX5" i="17"/>
  <c r="DP5" i="17" s="1"/>
  <c r="CA5" i="17"/>
  <c r="BS5" i="17"/>
  <c r="DK5" i="17" s="1"/>
  <c r="CB5" i="17"/>
  <c r="AV5" i="17"/>
  <c r="BK5" i="17"/>
  <c r="DD5" i="17" s="1"/>
  <c r="BT5" i="17"/>
  <c r="DL5" i="17" s="1"/>
  <c r="CC5" i="17"/>
  <c r="DQ5" i="17" s="1"/>
  <c r="AW5" i="17"/>
  <c r="BL5" i="17"/>
  <c r="DE5" i="17" s="1"/>
  <c r="BU5" i="17"/>
  <c r="DM5" i="17" s="1"/>
  <c r="AX5" i="17"/>
  <c r="BM5" i="17"/>
  <c r="DF5" i="17" s="1"/>
  <c r="BV5" i="17"/>
  <c r="DN5" i="17" s="1"/>
  <c r="CL5" i="17"/>
  <c r="CT5" i="17"/>
  <c r="BQ5" i="17"/>
  <c r="DI5" i="17" s="1"/>
  <c r="CP5" i="17"/>
  <c r="CX5" i="17"/>
  <c r="CI5" i="17"/>
  <c r="CQ5" i="17"/>
  <c r="CY5" i="17"/>
  <c r="CJ5" i="17"/>
  <c r="CR5" i="17"/>
  <c r="CO18" i="19"/>
  <c r="CX18" i="19"/>
  <c r="CH18" i="19"/>
  <c r="CR18" i="19"/>
  <c r="CI18" i="19"/>
  <c r="CT18" i="19"/>
  <c r="CJ18" i="19"/>
  <c r="CU18" i="19"/>
  <c r="CA18" i="19"/>
  <c r="CL18" i="19"/>
  <c r="CV18" i="19"/>
  <c r="CM18" i="19"/>
  <c r="CW18" i="19"/>
  <c r="CN18" i="19"/>
  <c r="CY18" i="19"/>
  <c r="CP18" i="19"/>
  <c r="CQ18" i="19"/>
  <c r="CG18" i="19"/>
  <c r="CK20" i="19"/>
  <c r="CT20" i="19"/>
  <c r="CN20" i="19"/>
  <c r="CW20" i="19"/>
  <c r="CO20" i="19"/>
  <c r="CY20" i="19"/>
  <c r="CJ20" i="19"/>
  <c r="CV20" i="19"/>
  <c r="CS20" i="19"/>
  <c r="CM20" i="19"/>
  <c r="BL19" i="19"/>
  <c r="DE19" i="19" s="1"/>
  <c r="CJ17" i="19"/>
  <c r="CR17" i="19"/>
  <c r="CM17" i="19"/>
  <c r="CV17" i="19"/>
  <c r="CA17" i="19"/>
  <c r="CO15" i="19"/>
  <c r="CX15" i="19"/>
  <c r="CP21" i="19"/>
  <c r="CA19" i="19"/>
  <c r="BW22" i="19"/>
  <c r="CV21" i="19"/>
  <c r="CL22" i="19"/>
  <c r="CT22" i="19"/>
  <c r="BV22" i="19"/>
  <c r="DN22" i="19" s="1"/>
  <c r="BL22" i="19"/>
  <c r="DE22" i="19" s="1"/>
  <c r="DO21" i="19"/>
  <c r="CU21" i="19"/>
  <c r="CL21" i="19"/>
  <c r="CR20" i="19"/>
  <c r="CI20" i="19"/>
  <c r="CG19" i="19"/>
  <c r="CO19" i="19"/>
  <c r="CW19" i="19"/>
  <c r="CY17" i="19"/>
  <c r="CO17" i="19"/>
  <c r="BJ15" i="19"/>
  <c r="DC15" i="19" s="1"/>
  <c r="AF15" i="19"/>
  <c r="AX22" i="19"/>
  <c r="BM22" i="19"/>
  <c r="DF22" i="19" s="1"/>
  <c r="BU22" i="19"/>
  <c r="DM22" i="19" s="1"/>
  <c r="AW22" i="19"/>
  <c r="CM21" i="19"/>
  <c r="BT22" i="19"/>
  <c r="DL22" i="19" s="1"/>
  <c r="BK22" i="19"/>
  <c r="AU22" i="19"/>
  <c r="CT21" i="19"/>
  <c r="CK21" i="19"/>
  <c r="AV21" i="19"/>
  <c r="BK21" i="19"/>
  <c r="DD21" i="19" s="1"/>
  <c r="BS21" i="19"/>
  <c r="DK21" i="19" s="1"/>
  <c r="CQ20" i="19"/>
  <c r="BN20" i="19"/>
  <c r="CX19" i="19"/>
  <c r="CN19" i="19"/>
  <c r="AW18" i="19"/>
  <c r="BL18" i="19"/>
  <c r="DE18" i="19" s="1"/>
  <c r="BT18" i="19"/>
  <c r="DL18" i="19" s="1"/>
  <c r="AV18" i="19"/>
  <c r="BM18" i="19"/>
  <c r="DF18" i="19" s="1"/>
  <c r="BV18" i="19"/>
  <c r="DN18" i="19" s="1"/>
  <c r="CX17" i="19"/>
  <c r="CN17" i="19"/>
  <c r="BP17" i="19"/>
  <c r="DH17" i="19" s="1"/>
  <c r="AY17" i="19"/>
  <c r="CH20" i="19"/>
  <c r="CP20" i="19"/>
  <c r="CX20" i="19"/>
  <c r="BS19" i="19"/>
  <c r="DK19" i="19" s="1"/>
  <c r="BI19" i="19"/>
  <c r="AX19" i="19"/>
  <c r="AY19" i="19"/>
  <c r="CW17" i="19"/>
  <c r="CL17" i="19"/>
  <c r="BZ17" i="19"/>
  <c r="BO17" i="19"/>
  <c r="DG17" i="19" s="1"/>
  <c r="AW17" i="19"/>
  <c r="AX13" i="19"/>
  <c r="AU13" i="19"/>
  <c r="AW13" i="19"/>
  <c r="AT13" i="19"/>
  <c r="CC22" i="19"/>
  <c r="CU17" i="19"/>
  <c r="CK17" i="19"/>
  <c r="BY17" i="19"/>
  <c r="AU17" i="19"/>
  <c r="AU15" i="19"/>
  <c r="AW15" i="19"/>
  <c r="BM19" i="19"/>
  <c r="DF19" i="19" s="1"/>
  <c r="BU19" i="19"/>
  <c r="DM19" i="19" s="1"/>
  <c r="BO19" i="19"/>
  <c r="DG19" i="19" s="1"/>
  <c r="CT17" i="19"/>
  <c r="CI17" i="19"/>
  <c r="BX17" i="19"/>
  <c r="AY13" i="19"/>
  <c r="BV13" i="19" s="1"/>
  <c r="DN13" i="19" s="1"/>
  <c r="CX21" i="19"/>
  <c r="CO21" i="19"/>
  <c r="CJ21" i="19"/>
  <c r="CR21" i="19"/>
  <c r="CU20" i="19"/>
  <c r="CL20" i="19"/>
  <c r="BZ19" i="19"/>
  <c r="BP19" i="19"/>
  <c r="DH19" i="19" s="1"/>
  <c r="AW19" i="19"/>
  <c r="BK19" i="19" s="1"/>
  <c r="DD19" i="19" s="1"/>
  <c r="CS17" i="19"/>
  <c r="CH17" i="19"/>
  <c r="AV17" i="19"/>
  <c r="BK17" i="19"/>
  <c r="DD17" i="19" s="1"/>
  <c r="BS17" i="19"/>
  <c r="DK17" i="19" s="1"/>
  <c r="AX17" i="19"/>
  <c r="BW17" i="19"/>
  <c r="AT17" i="19"/>
  <c r="BJ17" i="19"/>
  <c r="DC17" i="19" s="1"/>
  <c r="BT17" i="19"/>
  <c r="DL17" i="19" s="1"/>
  <c r="AW14" i="19"/>
  <c r="BY14" i="19" s="1"/>
  <c r="AT14" i="19"/>
  <c r="AX14" i="19"/>
  <c r="AV13" i="19"/>
  <c r="DO22" i="19"/>
  <c r="CY21" i="19"/>
  <c r="CG21" i="19"/>
  <c r="BQ19" i="19"/>
  <c r="DI19" i="19" s="1"/>
  <c r="BY22" i="19"/>
  <c r="BP22" i="19"/>
  <c r="DH22" i="19" s="1"/>
  <c r="BX22" i="19"/>
  <c r="BO22" i="19"/>
  <c r="DG22" i="19" s="1"/>
  <c r="AY22" i="19"/>
  <c r="CW21" i="19"/>
  <c r="CN21" i="19"/>
  <c r="AP20" i="19"/>
  <c r="CR19" i="19"/>
  <c r="CI19" i="19"/>
  <c r="BY19" i="19"/>
  <c r="BN19" i="19"/>
  <c r="AV19" i="19"/>
  <c r="BX18" i="19"/>
  <c r="AU18" i="19"/>
  <c r="CB18" i="19" s="1"/>
  <c r="CQ17" i="19"/>
  <c r="CG17" i="19"/>
  <c r="BU17" i="19"/>
  <c r="DM17" i="19" s="1"/>
  <c r="BI17" i="19"/>
  <c r="CV15" i="19"/>
  <c r="CJ15" i="19"/>
  <c r="BW14" i="19"/>
  <c r="AY14" i="19"/>
  <c r="BL14" i="19" s="1"/>
  <c r="DE14" i="19" s="1"/>
  <c r="AU12" i="19"/>
  <c r="BJ12" i="19"/>
  <c r="DC12" i="19" s="1"/>
  <c r="BR12" i="19"/>
  <c r="DJ12" i="19" s="1"/>
  <c r="BZ12" i="19"/>
  <c r="BI12" i="19"/>
  <c r="BS12" i="19"/>
  <c r="DK12" i="19" s="1"/>
  <c r="AX12" i="19"/>
  <c r="BW12" i="19"/>
  <c r="AY12" i="19"/>
  <c r="BO12" i="19"/>
  <c r="DG12" i="19" s="1"/>
  <c r="BX12" i="19"/>
  <c r="BU12" i="19"/>
  <c r="DM12" i="19" s="1"/>
  <c r="BK12" i="19"/>
  <c r="DD12" i="19" s="1"/>
  <c r="BV12" i="19"/>
  <c r="DN12" i="19" s="1"/>
  <c r="BM12" i="19"/>
  <c r="DF12" i="19" s="1"/>
  <c r="CA12" i="19"/>
  <c r="AT12" i="19"/>
  <c r="AV12" i="19"/>
  <c r="BP12" i="19"/>
  <c r="DH12" i="19" s="1"/>
  <c r="AW12" i="19"/>
  <c r="BQ12" i="19"/>
  <c r="DI12" i="19" s="1"/>
  <c r="BT12" i="19"/>
  <c r="DL12" i="19" s="1"/>
  <c r="CI11" i="19"/>
  <c r="CQ11" i="19"/>
  <c r="CY11" i="19"/>
  <c r="CL11" i="19"/>
  <c r="CU11" i="19"/>
  <c r="CG11" i="19"/>
  <c r="CP11" i="19"/>
  <c r="CH11" i="19"/>
  <c r="CR11" i="19"/>
  <c r="CO11" i="19"/>
  <c r="CS11" i="19"/>
  <c r="CT11" i="19"/>
  <c r="CJ11" i="19"/>
  <c r="CW11" i="19"/>
  <c r="CK11" i="19"/>
  <c r="CX11" i="19"/>
  <c r="CM11" i="19"/>
  <c r="CN11" i="19"/>
  <c r="BW13" i="19"/>
  <c r="BL13" i="19"/>
  <c r="DE13" i="19" s="1"/>
  <c r="CK18" i="19"/>
  <c r="CS18" i="19"/>
  <c r="CU15" i="19"/>
  <c r="BK13" i="19"/>
  <c r="DD13" i="19" s="1"/>
  <c r="CI12" i="19"/>
  <c r="CL12" i="19"/>
  <c r="CT12" i="19"/>
  <c r="CH12" i="19"/>
  <c r="CQ12" i="19"/>
  <c r="CY12" i="19"/>
  <c r="CW10" i="19"/>
  <c r="CK14" i="19"/>
  <c r="CS14" i="19"/>
  <c r="CH14" i="19"/>
  <c r="CP14" i="19"/>
  <c r="CX14" i="19"/>
  <c r="CL13" i="19"/>
  <c r="CT13" i="19"/>
  <c r="CI13" i="19"/>
  <c r="CQ13" i="19"/>
  <c r="CY13" i="19"/>
  <c r="BT13" i="19"/>
  <c r="DL13" i="19" s="1"/>
  <c r="CP12" i="19"/>
  <c r="AU11" i="19"/>
  <c r="AX11" i="19"/>
  <c r="AY11" i="19"/>
  <c r="BI11" i="19" s="1"/>
  <c r="CV10" i="19"/>
  <c r="CO12" i="19"/>
  <c r="CO10" i="19"/>
  <c r="AW8" i="19"/>
  <c r="AX8" i="19"/>
  <c r="AT8" i="19"/>
  <c r="AU8" i="19"/>
  <c r="AV8" i="19"/>
  <c r="AY8" i="19"/>
  <c r="BM13" i="19"/>
  <c r="BU13" i="19"/>
  <c r="DM13" i="19" s="1"/>
  <c r="BJ13" i="19"/>
  <c r="DC13" i="19" s="1"/>
  <c r="BR13" i="19"/>
  <c r="DJ13" i="19" s="1"/>
  <c r="BZ13" i="19"/>
  <c r="CX12" i="19"/>
  <c r="CN12" i="19"/>
  <c r="CI9" i="19"/>
  <c r="CQ9" i="19"/>
  <c r="CY9" i="19"/>
  <c r="CJ9" i="19"/>
  <c r="CR9" i="19"/>
  <c r="CK9" i="19"/>
  <c r="CU9" i="19"/>
  <c r="CL9" i="19"/>
  <c r="CV9" i="19"/>
  <c r="CM9" i="19"/>
  <c r="CW9" i="19"/>
  <c r="CN9" i="19"/>
  <c r="CX9" i="19"/>
  <c r="CG9" i="19"/>
  <c r="CS9" i="19"/>
  <c r="CH9" i="19"/>
  <c r="CT9" i="19"/>
  <c r="AU6" i="19"/>
  <c r="AV6" i="19"/>
  <c r="AW6" i="19"/>
  <c r="AX6" i="19"/>
  <c r="AT6" i="19"/>
  <c r="AY6" i="19"/>
  <c r="CI15" i="19"/>
  <c r="CQ15" i="19"/>
  <c r="CY15" i="19"/>
  <c r="BY13" i="19"/>
  <c r="BO13" i="19"/>
  <c r="DG13" i="19" s="1"/>
  <c r="CI10" i="19"/>
  <c r="CQ10" i="19"/>
  <c r="CY10" i="19"/>
  <c r="CJ10" i="19"/>
  <c r="CS10" i="19"/>
  <c r="CK10" i="19"/>
  <c r="CT10" i="19"/>
  <c r="CL10" i="19"/>
  <c r="CU10" i="19"/>
  <c r="CG10" i="19"/>
  <c r="CP10" i="19"/>
  <c r="CH10" i="19"/>
  <c r="CR10" i="19"/>
  <c r="BL10" i="19"/>
  <c r="DE10" i="19" s="1"/>
  <c r="AY7" i="19"/>
  <c r="AT7" i="19"/>
  <c r="AU7" i="19"/>
  <c r="AV7" i="19"/>
  <c r="AW7" i="19"/>
  <c r="BN7" i="19" s="1"/>
  <c r="AX7" i="19"/>
  <c r="CA7" i="19" s="1"/>
  <c r="CX10" i="19"/>
  <c r="AU10" i="19"/>
  <c r="AV10" i="19"/>
  <c r="AW10" i="19"/>
  <c r="CA10" i="19" s="1"/>
  <c r="AX10" i="19"/>
  <c r="AY10" i="19"/>
  <c r="AT10" i="19"/>
  <c r="BM10" i="19"/>
  <c r="CK8" i="19"/>
  <c r="CS8" i="19"/>
  <c r="CL8" i="19"/>
  <c r="CT8" i="19"/>
  <c r="CH8" i="19"/>
  <c r="CP8" i="19"/>
  <c r="CX8" i="19"/>
  <c r="CI8" i="19"/>
  <c r="CQ8" i="19"/>
  <c r="CY8" i="19"/>
  <c r="BR10" i="19"/>
  <c r="DJ10" i="19" s="1"/>
  <c r="BZ10" i="19"/>
  <c r="BK10" i="19"/>
  <c r="DD10" i="19" s="1"/>
  <c r="BS10" i="19"/>
  <c r="DK10" i="19" s="1"/>
  <c r="BL8" i="19"/>
  <c r="DE8" i="19" s="1"/>
  <c r="AD6" i="19"/>
  <c r="AF6" i="19"/>
  <c r="BZ15" i="19"/>
  <c r="BR15" i="19"/>
  <c r="DJ15" i="19" s="1"/>
  <c r="BS11" i="19"/>
  <c r="DK11" i="19" s="1"/>
  <c r="BP10" i="19"/>
  <c r="DH10" i="19" s="1"/>
  <c r="AU9" i="19"/>
  <c r="AV9" i="19"/>
  <c r="CM8" i="19"/>
  <c r="BW7" i="19"/>
  <c r="BJ7" i="19"/>
  <c r="DC7" i="19" s="1"/>
  <c r="BL7" i="19"/>
  <c r="DE7" i="19" s="1"/>
  <c r="BT7" i="19"/>
  <c r="DL7" i="19" s="1"/>
  <c r="BP6" i="19"/>
  <c r="DH6" i="19" s="1"/>
  <c r="CG5" i="19"/>
  <c r="CO5" i="19"/>
  <c r="CW5" i="19"/>
  <c r="CH5" i="19"/>
  <c r="CP5" i="19"/>
  <c r="CX5" i="19"/>
  <c r="CJ5" i="19"/>
  <c r="CR5" i="19"/>
  <c r="CK5" i="19"/>
  <c r="CS5" i="19"/>
  <c r="CL5" i="19"/>
  <c r="CT5" i="19"/>
  <c r="CM5" i="19"/>
  <c r="CU5" i="19"/>
  <c r="AT4" i="19"/>
  <c r="AV4" i="19"/>
  <c r="AW4" i="19"/>
  <c r="AX4" i="19"/>
  <c r="AY4" i="19"/>
  <c r="AT3" i="19"/>
  <c r="AU3" i="19"/>
  <c r="AV3" i="19"/>
  <c r="AW3" i="19"/>
  <c r="BI3" i="19" s="1"/>
  <c r="AX3" i="19"/>
  <c r="AY3" i="19"/>
  <c r="AW9" i="19"/>
  <c r="BJ9" i="19" s="1"/>
  <c r="DC9" i="19" s="1"/>
  <c r="CJ8" i="19"/>
  <c r="BU7" i="19"/>
  <c r="DM7" i="19" s="1"/>
  <c r="BZ5" i="19"/>
  <c r="AT5" i="19"/>
  <c r="AV5" i="19"/>
  <c r="AW5" i="19"/>
  <c r="BK5" i="19" s="1"/>
  <c r="DD5" i="19" s="1"/>
  <c r="AX5" i="19"/>
  <c r="BY5" i="19" s="1"/>
  <c r="AY5" i="19"/>
  <c r="BN5" i="19" s="1"/>
  <c r="BJ11" i="19"/>
  <c r="DC11" i="19" s="1"/>
  <c r="BR11" i="19"/>
  <c r="DJ11" i="19" s="1"/>
  <c r="BZ11" i="19"/>
  <c r="AT9" i="19"/>
  <c r="CW8" i="19"/>
  <c r="CG8" i="19"/>
  <c r="BR7" i="19"/>
  <c r="DJ7" i="19" s="1"/>
  <c r="CN7" i="19"/>
  <c r="CV7" i="19"/>
  <c r="CK7" i="19"/>
  <c r="CS7" i="19"/>
  <c r="BW5" i="19"/>
  <c r="BP4" i="19"/>
  <c r="DH4" i="19" s="1"/>
  <c r="CW3" i="19"/>
  <c r="CO3" i="19"/>
  <c r="CG3" i="19"/>
  <c r="CW2" i="19"/>
  <c r="CO2" i="19"/>
  <c r="CG2" i="19"/>
  <c r="BZ8" i="19"/>
  <c r="BR8" i="19"/>
  <c r="DJ8" i="19" s="1"/>
  <c r="BJ8" i="19"/>
  <c r="DC8" i="19" s="1"/>
  <c r="CU4" i="19"/>
  <c r="CM4" i="19"/>
  <c r="BV4" i="19"/>
  <c r="DN4" i="19" s="1"/>
  <c r="BN4" i="19"/>
  <c r="BY8" i="19"/>
  <c r="BQ8" i="19"/>
  <c r="DI8" i="19" s="1"/>
  <c r="BI8" i="19"/>
  <c r="CR7" i="19"/>
  <c r="CJ7" i="19"/>
  <c r="BS7" i="19"/>
  <c r="DK7" i="19" s="1"/>
  <c r="BK7" i="19"/>
  <c r="DD7" i="19" s="1"/>
  <c r="CS6" i="19"/>
  <c r="CK6" i="19"/>
  <c r="BT6" i="19"/>
  <c r="DL6" i="19" s="1"/>
  <c r="BL6" i="19"/>
  <c r="DE6" i="19" s="1"/>
  <c r="CT4" i="19"/>
  <c r="CL4" i="19"/>
  <c r="BU4" i="19"/>
  <c r="DM4" i="19" s="1"/>
  <c r="BM4" i="19"/>
  <c r="CU3" i="19"/>
  <c r="CM3" i="19"/>
  <c r="CU2" i="19"/>
  <c r="CM2" i="19"/>
  <c r="AY2" i="19"/>
  <c r="CS4" i="19"/>
  <c r="CK4" i="19"/>
  <c r="BT4" i="19"/>
  <c r="DL4" i="19" s="1"/>
  <c r="BL4" i="19"/>
  <c r="DE4" i="19" s="1"/>
  <c r="CT2" i="19"/>
  <c r="CL2" i="19"/>
  <c r="AX2" i="19"/>
  <c r="CX7" i="19"/>
  <c r="CP7" i="19"/>
  <c r="CH7" i="19"/>
  <c r="BQ7" i="19"/>
  <c r="DI7" i="19" s="1"/>
  <c r="BI7" i="19"/>
  <c r="CR4" i="19"/>
  <c r="CJ4" i="19"/>
  <c r="CA4" i="19"/>
  <c r="BS4" i="19"/>
  <c r="DK4" i="19" s="1"/>
  <c r="BK4" i="19"/>
  <c r="DD4" i="19" s="1"/>
  <c r="CS3" i="19"/>
  <c r="CK3" i="19"/>
  <c r="BT3" i="19"/>
  <c r="DL3" i="19" s="1"/>
  <c r="BL3" i="19"/>
  <c r="DE3" i="19" s="1"/>
  <c r="AW2" i="19"/>
  <c r="BV2" i="19" s="1"/>
  <c r="DN2" i="19" s="1"/>
  <c r="BU8" i="19"/>
  <c r="DM8" i="19" s="1"/>
  <c r="BM8" i="19"/>
  <c r="CW6" i="19"/>
  <c r="CO6" i="19"/>
  <c r="BX6" i="19"/>
  <c r="CX4" i="19"/>
  <c r="CP4" i="19"/>
  <c r="CH4" i="19"/>
  <c r="BY4" i="19"/>
  <c r="BQ4" i="19"/>
  <c r="DI4" i="19" s="1"/>
  <c r="BI4" i="19"/>
  <c r="CY3" i="19"/>
  <c r="CQ3" i="19"/>
  <c r="CI3" i="19"/>
  <c r="CY2" i="19"/>
  <c r="CQ2" i="19"/>
  <c r="CI2" i="19"/>
  <c r="BR2" i="19"/>
  <c r="DJ2" i="19" s="1"/>
  <c r="AU2" i="19"/>
  <c r="BT8" i="19"/>
  <c r="DL8" i="19" s="1"/>
  <c r="CU7" i="19"/>
  <c r="BV7" i="19"/>
  <c r="DN7" i="19" s="1"/>
  <c r="CW4" i="19"/>
  <c r="CO4" i="19"/>
  <c r="BX4" i="19"/>
  <c r="CX3" i="19"/>
  <c r="CP3" i="19"/>
  <c r="BY3" i="19"/>
  <c r="BQ3" i="19"/>
  <c r="DI3" i="19" s="1"/>
  <c r="CX2" i="19"/>
  <c r="CP2" i="19"/>
  <c r="BZ12" i="15" l="1"/>
  <c r="AI12" i="15"/>
  <c r="AJ12" i="15" s="1"/>
  <c r="AI10" i="15"/>
  <c r="AI11" i="15"/>
  <c r="CA11" i="15"/>
  <c r="BZ11" i="15"/>
  <c r="BZ10" i="15"/>
  <c r="CA10" i="15"/>
  <c r="CC25" i="19"/>
  <c r="CB25" i="19"/>
  <c r="DP25" i="19" s="1"/>
  <c r="CC26" i="19"/>
  <c r="BF26" i="19" s="1"/>
  <c r="CB26" i="19"/>
  <c r="DP26" i="19" s="1"/>
  <c r="DR6" i="17"/>
  <c r="CF6" i="17"/>
  <c r="CD5" i="17"/>
  <c r="DR5" i="17" s="1"/>
  <c r="CE5" i="17"/>
  <c r="DO7" i="19"/>
  <c r="DB11" i="19"/>
  <c r="DB3" i="19"/>
  <c r="DO10" i="19"/>
  <c r="DP18" i="19"/>
  <c r="CD18" i="19"/>
  <c r="BN2" i="19"/>
  <c r="BY2" i="19"/>
  <c r="BJ2" i="19"/>
  <c r="DC2" i="19" s="1"/>
  <c r="BZ3" i="19"/>
  <c r="BS9" i="19"/>
  <c r="DK9" i="19" s="1"/>
  <c r="DO4" i="19"/>
  <c r="BV3" i="19"/>
  <c r="DN3" i="19" s="1"/>
  <c r="BU5" i="19"/>
  <c r="DM5" i="19" s="1"/>
  <c r="BQ5" i="19"/>
  <c r="DI5" i="19" s="1"/>
  <c r="CA11" i="19"/>
  <c r="CA9" i="19"/>
  <c r="BO6" i="19"/>
  <c r="DG6" i="19" s="1"/>
  <c r="BW6" i="19"/>
  <c r="BJ6" i="19"/>
  <c r="DC6" i="19" s="1"/>
  <c r="BR6" i="19"/>
  <c r="DJ6" i="19" s="1"/>
  <c r="BZ6" i="19"/>
  <c r="BK6" i="19"/>
  <c r="DD6" i="19" s="1"/>
  <c r="BS6" i="19"/>
  <c r="DK6" i="19" s="1"/>
  <c r="CA6" i="19"/>
  <c r="BM6" i="19"/>
  <c r="BU6" i="19"/>
  <c r="DM6" i="19" s="1"/>
  <c r="BI6" i="19"/>
  <c r="BQ6" i="19"/>
  <c r="DI6" i="19" s="1"/>
  <c r="BV6" i="19"/>
  <c r="DN6" i="19" s="1"/>
  <c r="BY6" i="19"/>
  <c r="BN6" i="19"/>
  <c r="BP8" i="19"/>
  <c r="DH8" i="19" s="1"/>
  <c r="BS8" i="19"/>
  <c r="DK8" i="19" s="1"/>
  <c r="BV8" i="19"/>
  <c r="DN8" i="19" s="1"/>
  <c r="BW8" i="19"/>
  <c r="BN8" i="19"/>
  <c r="BO8" i="19"/>
  <c r="DG8" i="19" s="1"/>
  <c r="BK8" i="19"/>
  <c r="DD8" i="19" s="1"/>
  <c r="BX8" i="19"/>
  <c r="CA8" i="19"/>
  <c r="BV19" i="19"/>
  <c r="DN19" i="19" s="1"/>
  <c r="BP2" i="19"/>
  <c r="DH2" i="19" s="1"/>
  <c r="BK3" i="19"/>
  <c r="DD3" i="19" s="1"/>
  <c r="BS3" i="19"/>
  <c r="DK3" i="19" s="1"/>
  <c r="CA3" i="19"/>
  <c r="BM3" i="19"/>
  <c r="BU3" i="19"/>
  <c r="DM3" i="19" s="1"/>
  <c r="BO3" i="19"/>
  <c r="DG3" i="19" s="1"/>
  <c r="BW3" i="19"/>
  <c r="BM5" i="19"/>
  <c r="DF5" i="19" s="1"/>
  <c r="BI5" i="19"/>
  <c r="BR5" i="19"/>
  <c r="DJ5" i="19" s="1"/>
  <c r="BX14" i="19"/>
  <c r="BQ14" i="19"/>
  <c r="DI14" i="19" s="1"/>
  <c r="BN14" i="19"/>
  <c r="DB19" i="19"/>
  <c r="BP14" i="19"/>
  <c r="DH14" i="19" s="1"/>
  <c r="DO19" i="19"/>
  <c r="DO18" i="19"/>
  <c r="CC18" i="19"/>
  <c r="BT5" i="19"/>
  <c r="DL5" i="19" s="1"/>
  <c r="BX5" i="19"/>
  <c r="BX7" i="19"/>
  <c r="BZ7" i="19"/>
  <c r="BM7" i="19"/>
  <c r="DF7" i="19" s="1"/>
  <c r="BP7" i="19"/>
  <c r="DH7" i="19" s="1"/>
  <c r="AT20" i="19"/>
  <c r="BR20" i="19"/>
  <c r="DJ20" i="19" s="1"/>
  <c r="AU20" i="19"/>
  <c r="BK20" i="19"/>
  <c r="DD20" i="19" s="1"/>
  <c r="AV20" i="19"/>
  <c r="BL20" i="19"/>
  <c r="DE20" i="19" s="1"/>
  <c r="BU20" i="19"/>
  <c r="DM20" i="19" s="1"/>
  <c r="AW20" i="19"/>
  <c r="BM20" i="19"/>
  <c r="DF20" i="19" s="1"/>
  <c r="BV20" i="19"/>
  <c r="DN20" i="19" s="1"/>
  <c r="AX20" i="19"/>
  <c r="BT20" i="19"/>
  <c r="DL20" i="19" s="1"/>
  <c r="AY20" i="19"/>
  <c r="BP20" i="19"/>
  <c r="DH20" i="19" s="1"/>
  <c r="BZ20" i="19"/>
  <c r="BV14" i="19"/>
  <c r="DN14" i="19" s="1"/>
  <c r="BI14" i="19"/>
  <c r="BJ20" i="19"/>
  <c r="DC20" i="19" s="1"/>
  <c r="BW20" i="19"/>
  <c r="DD22" i="19"/>
  <c r="CB22" i="19"/>
  <c r="DP22" i="19" s="1"/>
  <c r="BR14" i="19"/>
  <c r="DJ14" i="19" s="1"/>
  <c r="BR19" i="19"/>
  <c r="DJ19" i="19" s="1"/>
  <c r="BI2" i="19"/>
  <c r="BL5" i="19"/>
  <c r="DE5" i="19" s="1"/>
  <c r="BP5" i="19"/>
  <c r="DH5" i="19" s="1"/>
  <c r="CC12" i="19"/>
  <c r="DO12" i="19"/>
  <c r="BK14" i="19"/>
  <c r="DD14" i="19" s="1"/>
  <c r="BT14" i="19"/>
  <c r="DL14" i="19" s="1"/>
  <c r="BS20" i="19"/>
  <c r="DK20" i="19" s="1"/>
  <c r="BI13" i="19"/>
  <c r="BY20" i="19"/>
  <c r="BS14" i="19"/>
  <c r="DK14" i="19" s="1"/>
  <c r="CB21" i="19"/>
  <c r="DB4" i="19"/>
  <c r="CA5" i="19"/>
  <c r="BO5" i="19"/>
  <c r="DG5" i="19" s="1"/>
  <c r="BI10" i="19"/>
  <c r="BQ10" i="19"/>
  <c r="DI10" i="19" s="1"/>
  <c r="BT10" i="19"/>
  <c r="DL10" i="19" s="1"/>
  <c r="BU10" i="19"/>
  <c r="DM10" i="19" s="1"/>
  <c r="BJ5" i="19"/>
  <c r="DC5" i="19" s="1"/>
  <c r="BU14" i="19"/>
  <c r="DM14" i="19" s="1"/>
  <c r="BM14" i="19"/>
  <c r="DF14" i="19" s="1"/>
  <c r="BL11" i="19"/>
  <c r="DE11" i="19" s="1"/>
  <c r="BQ20" i="19"/>
  <c r="DI20" i="19" s="1"/>
  <c r="BO20" i="19"/>
  <c r="DG20" i="19" s="1"/>
  <c r="BW19" i="19"/>
  <c r="CA14" i="19"/>
  <c r="BM2" i="19"/>
  <c r="DF2" i="19" s="1"/>
  <c r="BU2" i="19"/>
  <c r="DM2" i="19" s="1"/>
  <c r="BN9" i="19"/>
  <c r="BX9" i="19"/>
  <c r="BO9" i="19"/>
  <c r="DG9" i="19" s="1"/>
  <c r="BY9" i="19"/>
  <c r="BP9" i="19"/>
  <c r="DH9" i="19" s="1"/>
  <c r="BQ9" i="19"/>
  <c r="DI9" i="19" s="1"/>
  <c r="BL9" i="19"/>
  <c r="DE9" i="19" s="1"/>
  <c r="BV9" i="19"/>
  <c r="DN9" i="19" s="1"/>
  <c r="BM9" i="19"/>
  <c r="DF9" i="19" s="1"/>
  <c r="BW9" i="19"/>
  <c r="BI9" i="19"/>
  <c r="BT9" i="19"/>
  <c r="DL9" i="19" s="1"/>
  <c r="BU9" i="19"/>
  <c r="DM9" i="19" s="1"/>
  <c r="BR9" i="19"/>
  <c r="DJ9" i="19" s="1"/>
  <c r="DF8" i="19"/>
  <c r="BY7" i="19"/>
  <c r="BO10" i="19"/>
  <c r="DG10" i="19" s="1"/>
  <c r="BO7" i="19"/>
  <c r="DG7" i="19" s="1"/>
  <c r="BJ10" i="19"/>
  <c r="DC10" i="19" s="1"/>
  <c r="BS5" i="19"/>
  <c r="DK5" i="19" s="1"/>
  <c r="BV10" i="19"/>
  <c r="DN10" i="19" s="1"/>
  <c r="BW10" i="19"/>
  <c r="BT11" i="19"/>
  <c r="DL11" i="19" s="1"/>
  <c r="BU11" i="19"/>
  <c r="DM11" i="19" s="1"/>
  <c r="BV11" i="19"/>
  <c r="DN11" i="19" s="1"/>
  <c r="BK11" i="19"/>
  <c r="DD11" i="19" s="1"/>
  <c r="BY11" i="19"/>
  <c r="BQ11" i="19"/>
  <c r="DI11" i="19" s="1"/>
  <c r="BJ14" i="19"/>
  <c r="DC14" i="19" s="1"/>
  <c r="BM15" i="19"/>
  <c r="DF15" i="19" s="1"/>
  <c r="BV15" i="19"/>
  <c r="DN15" i="19" s="1"/>
  <c r="BI15" i="19"/>
  <c r="BS15" i="19"/>
  <c r="DK15" i="19" s="1"/>
  <c r="BL15" i="19"/>
  <c r="DE15" i="19" s="1"/>
  <c r="BX15" i="19"/>
  <c r="BN15" i="19"/>
  <c r="BY15" i="19"/>
  <c r="BO15" i="19"/>
  <c r="DG15" i="19" s="1"/>
  <c r="CA15" i="19"/>
  <c r="BP15" i="19"/>
  <c r="DH15" i="19" s="1"/>
  <c r="BQ15" i="19"/>
  <c r="DI15" i="19" s="1"/>
  <c r="BT15" i="19"/>
  <c r="DL15" i="19" s="1"/>
  <c r="BU15" i="19"/>
  <c r="DM15" i="19" s="1"/>
  <c r="BK15" i="19"/>
  <c r="DD15" i="19" s="1"/>
  <c r="BW15" i="19"/>
  <c r="BI20" i="19"/>
  <c r="BJ19" i="19"/>
  <c r="DC19" i="19" s="1"/>
  <c r="BX20" i="19"/>
  <c r="DB7" i="19"/>
  <c r="BZ9" i="19"/>
  <c r="BJ3" i="19"/>
  <c r="DC3" i="19" s="1"/>
  <c r="BP3" i="19"/>
  <c r="DH3" i="19" s="1"/>
  <c r="BN10" i="19"/>
  <c r="DF10" i="19" s="1"/>
  <c r="BY10" i="19"/>
  <c r="BV5" i="19"/>
  <c r="DN5" i="19" s="1"/>
  <c r="BN11" i="19"/>
  <c r="BO11" i="19"/>
  <c r="DG11" i="19" s="1"/>
  <c r="CB12" i="19"/>
  <c r="DP12" i="19" s="1"/>
  <c r="DB12" i="19"/>
  <c r="BZ14" i="19"/>
  <c r="BX13" i="19"/>
  <c r="CA13" i="19"/>
  <c r="BN13" i="19"/>
  <c r="DF13" i="19" s="1"/>
  <c r="BP13" i="19"/>
  <c r="DH13" i="19" s="1"/>
  <c r="BQ13" i="19"/>
  <c r="DI13" i="19" s="1"/>
  <c r="BS13" i="19"/>
  <c r="DK13" i="19" s="1"/>
  <c r="BT19" i="19"/>
  <c r="DL19" i="19" s="1"/>
  <c r="CC17" i="19"/>
  <c r="DO17" i="19"/>
  <c r="CC21" i="19"/>
  <c r="BK2" i="19"/>
  <c r="DD2" i="19" s="1"/>
  <c r="BS2" i="19"/>
  <c r="DK2" i="19" s="1"/>
  <c r="CA2" i="19"/>
  <c r="BL2" i="19"/>
  <c r="DE2" i="19" s="1"/>
  <c r="BT2" i="19"/>
  <c r="DL2" i="19" s="1"/>
  <c r="BO2" i="19"/>
  <c r="DG2" i="19" s="1"/>
  <c r="BW2" i="19"/>
  <c r="BZ2" i="19"/>
  <c r="BX2" i="19"/>
  <c r="DF4" i="19"/>
  <c r="BQ2" i="19"/>
  <c r="DI2" i="19" s="1"/>
  <c r="BR3" i="19"/>
  <c r="DJ3" i="19" s="1"/>
  <c r="BK9" i="19"/>
  <c r="DD9" i="19" s="1"/>
  <c r="BN3" i="19"/>
  <c r="CB8" i="19"/>
  <c r="DP8" i="19" s="1"/>
  <c r="DB8" i="19"/>
  <c r="CD8" i="19"/>
  <c r="BX3" i="19"/>
  <c r="BX10" i="19"/>
  <c r="BO4" i="19"/>
  <c r="DG4" i="19" s="1"/>
  <c r="BW4" i="19"/>
  <c r="BJ4" i="19"/>
  <c r="DC4" i="19" s="1"/>
  <c r="BR4" i="19"/>
  <c r="DJ4" i="19" s="1"/>
  <c r="BZ4" i="19"/>
  <c r="BW11" i="19"/>
  <c r="BX11" i="19"/>
  <c r="BM11" i="19"/>
  <c r="DF11" i="19" s="1"/>
  <c r="DB17" i="19"/>
  <c r="CB17" i="19"/>
  <c r="DP17" i="19" s="1"/>
  <c r="BO14" i="19"/>
  <c r="DG14" i="19" s="1"/>
  <c r="BX19" i="19"/>
  <c r="CA20" i="19"/>
  <c r="AG12" i="15" l="1"/>
  <c r="AJ11" i="15"/>
  <c r="AG11" i="15" s="1"/>
  <c r="AJ10" i="15"/>
  <c r="CD25" i="19"/>
  <c r="CD26" i="19"/>
  <c r="CF5" i="17"/>
  <c r="DO20" i="19"/>
  <c r="CC20" i="19"/>
  <c r="CC13" i="19"/>
  <c r="BF13" i="19" s="1"/>
  <c r="DO13" i="19"/>
  <c r="CB15" i="19"/>
  <c r="DP15" i="19" s="1"/>
  <c r="DB15" i="19"/>
  <c r="CD15" i="19"/>
  <c r="DO5" i="19"/>
  <c r="CC5" i="19"/>
  <c r="BF5" i="19" s="1"/>
  <c r="CC19" i="19"/>
  <c r="BF19" i="19" s="1"/>
  <c r="DF3" i="19"/>
  <c r="DO11" i="19"/>
  <c r="CC11" i="19"/>
  <c r="BF11" i="19" s="1"/>
  <c r="CD3" i="19"/>
  <c r="DO15" i="19"/>
  <c r="CC15" i="19"/>
  <c r="BF15" i="19" s="1"/>
  <c r="CD4" i="19"/>
  <c r="CD22" i="19"/>
  <c r="CC3" i="19"/>
  <c r="BF3" i="19" s="1"/>
  <c r="DO3" i="19"/>
  <c r="CB3" i="19"/>
  <c r="DP3" i="19" s="1"/>
  <c r="DO14" i="19"/>
  <c r="CC14" i="19"/>
  <c r="BF14" i="19" s="1"/>
  <c r="CB4" i="19"/>
  <c r="DP4" i="19" s="1"/>
  <c r="CD12" i="19"/>
  <c r="DB5" i="19"/>
  <c r="CB5" i="19"/>
  <c r="DP5" i="19" s="1"/>
  <c r="CD5" i="19"/>
  <c r="CD11" i="19"/>
  <c r="DP21" i="19"/>
  <c r="CD21" i="19"/>
  <c r="CD19" i="19"/>
  <c r="DB6" i="19"/>
  <c r="CB6" i="19"/>
  <c r="DP6" i="19" s="1"/>
  <c r="CD6" i="19"/>
  <c r="CC4" i="19"/>
  <c r="BF4" i="19" s="1"/>
  <c r="DB20" i="19"/>
  <c r="CB20" i="19"/>
  <c r="DP20" i="19" s="1"/>
  <c r="CC2" i="19"/>
  <c r="BF2" i="19" s="1"/>
  <c r="DO2" i="19"/>
  <c r="CB7" i="19"/>
  <c r="DP7" i="19" s="1"/>
  <c r="DB9" i="19"/>
  <c r="CB9" i="19"/>
  <c r="DP9" i="19" s="1"/>
  <c r="CD9" i="19"/>
  <c r="CB10" i="19"/>
  <c r="DP10" i="19" s="1"/>
  <c r="DB10" i="19"/>
  <c r="CD10" i="19"/>
  <c r="CB19" i="19"/>
  <c r="DP19" i="19" s="1"/>
  <c r="CC10" i="19"/>
  <c r="BF10" i="19" s="1"/>
  <c r="CB11" i="19"/>
  <c r="DP11" i="19" s="1"/>
  <c r="CD20" i="19"/>
  <c r="CB14" i="19"/>
  <c r="DP14" i="19" s="1"/>
  <c r="CD14" i="19"/>
  <c r="DB14" i="19"/>
  <c r="CD17" i="19"/>
  <c r="DF6" i="19"/>
  <c r="CC7" i="19"/>
  <c r="BF7" i="19" s="1"/>
  <c r="CD7" i="19"/>
  <c r="CB13" i="19"/>
  <c r="DP13" i="19" s="1"/>
  <c r="CD13" i="19"/>
  <c r="DB13" i="19"/>
  <c r="DB2" i="19"/>
  <c r="CB2" i="19"/>
  <c r="DP2" i="19" s="1"/>
  <c r="CD2" i="19"/>
  <c r="CC8" i="19"/>
  <c r="BF8" i="19" s="1"/>
  <c r="DO8" i="19"/>
  <c r="DO6" i="19"/>
  <c r="CC6" i="19"/>
  <c r="BF6" i="19" s="1"/>
  <c r="CC9" i="19"/>
  <c r="BF9" i="19" s="1"/>
  <c r="DO9" i="19"/>
  <c r="AG10" i="15" l="1"/>
  <c r="AR2" i="18"/>
  <c r="AT2" i="18"/>
  <c r="AU2" i="18"/>
  <c r="BP2" i="18" s="1"/>
  <c r="AV2" i="18"/>
  <c r="BR2" i="18" s="1"/>
  <c r="AX2" i="18"/>
  <c r="BF2" i="18"/>
  <c r="BH2" i="18"/>
  <c r="AW2" i="18" s="1"/>
  <c r="AY2" i="18" s="1"/>
  <c r="BI2" i="18"/>
  <c r="BL2" i="18"/>
  <c r="BM2" i="18"/>
  <c r="BQ2" i="18"/>
  <c r="BT2" i="18"/>
  <c r="BU2" i="18"/>
  <c r="BY2" i="18"/>
  <c r="CB2" i="18"/>
  <c r="CD2" i="18"/>
  <c r="CE2" i="18"/>
  <c r="CH2" i="18"/>
  <c r="CK2" i="18"/>
  <c r="CL2" i="18"/>
  <c r="CM2" i="18"/>
  <c r="CP2" i="18"/>
  <c r="CS2" i="18"/>
  <c r="AR3" i="18"/>
  <c r="AT3" i="18"/>
  <c r="AU3" i="18" s="1"/>
  <c r="BP3" i="18" s="1"/>
  <c r="AX3" i="18"/>
  <c r="BF3" i="18"/>
  <c r="BH3" i="18"/>
  <c r="AW3" i="18" s="1"/>
  <c r="AY3" i="18" s="1"/>
  <c r="BI3" i="18"/>
  <c r="BK3" i="18"/>
  <c r="BL3" i="18"/>
  <c r="BM3" i="18"/>
  <c r="BN3" i="18"/>
  <c r="BQ3" i="18"/>
  <c r="BR3" i="18"/>
  <c r="BS3" i="18"/>
  <c r="BT3" i="18"/>
  <c r="BU3" i="18"/>
  <c r="BV3" i="18"/>
  <c r="BW3" i="18"/>
  <c r="BX3" i="18"/>
  <c r="BY3" i="18"/>
  <c r="BZ3" i="18"/>
  <c r="CY3" i="18" s="1"/>
  <c r="CA3" i="18"/>
  <c r="CB3" i="18"/>
  <c r="CD3" i="18"/>
  <c r="CE3" i="18"/>
  <c r="CF3" i="18"/>
  <c r="CG3" i="18"/>
  <c r="CH3" i="18"/>
  <c r="CI3" i="18"/>
  <c r="CJ3" i="18"/>
  <c r="CK3" i="18"/>
  <c r="CL3" i="18"/>
  <c r="CM3" i="18"/>
  <c r="CN3" i="18"/>
  <c r="CO3" i="18"/>
  <c r="CP3" i="18"/>
  <c r="CQ3" i="18"/>
  <c r="CR3" i="18"/>
  <c r="CS3" i="18"/>
  <c r="CV3" i="18"/>
  <c r="AR4" i="18"/>
  <c r="AT4" i="18"/>
  <c r="AU4" i="18" s="1"/>
  <c r="BP4" i="18" s="1"/>
  <c r="BF4" i="18"/>
  <c r="BL4" i="18" s="1"/>
  <c r="BH4" i="18"/>
  <c r="AW4" i="18" s="1"/>
  <c r="BI4" i="18"/>
  <c r="AX4" i="18" s="1"/>
  <c r="BK4" i="18"/>
  <c r="BN4" i="18"/>
  <c r="BQ4" i="18"/>
  <c r="BR4" i="18"/>
  <c r="BS4" i="18"/>
  <c r="BV4" i="18"/>
  <c r="BW4" i="18"/>
  <c r="BX4" i="18"/>
  <c r="BY4" i="18"/>
  <c r="BZ4" i="18"/>
  <c r="CA4" i="18"/>
  <c r="CE4" i="18"/>
  <c r="CF4" i="18"/>
  <c r="CG4" i="18"/>
  <c r="CH4" i="18"/>
  <c r="CI4" i="18"/>
  <c r="CJ4" i="18"/>
  <c r="CM4" i="18"/>
  <c r="CN4" i="18"/>
  <c r="CO4" i="18"/>
  <c r="CP4" i="18"/>
  <c r="CQ4" i="18"/>
  <c r="CR4" i="18"/>
  <c r="CV4" i="18"/>
  <c r="AR5" i="18"/>
  <c r="AT5" i="18"/>
  <c r="AU5" i="18"/>
  <c r="AV5" i="18"/>
  <c r="AY5" i="18"/>
  <c r="BF5" i="18"/>
  <c r="BL5" i="18" s="1"/>
  <c r="BH5" i="18"/>
  <c r="AW5" i="18" s="1"/>
  <c r="BI5" i="18"/>
  <c r="AX5" i="18" s="1"/>
  <c r="BO5" i="18"/>
  <c r="BP5" i="18"/>
  <c r="BW5" i="18"/>
  <c r="BX5" i="18"/>
  <c r="CF5" i="18"/>
  <c r="CG5" i="18"/>
  <c r="CN5" i="18"/>
  <c r="CO5" i="18"/>
  <c r="CV5" i="18"/>
  <c r="AR6" i="18"/>
  <c r="AT6" i="18"/>
  <c r="AU6" i="18"/>
  <c r="AV6" i="18"/>
  <c r="BF6" i="18"/>
  <c r="BH6" i="18"/>
  <c r="AW6" i="18" s="1"/>
  <c r="AY6" i="18" s="1"/>
  <c r="BI6" i="18"/>
  <c r="AX6" i="18" s="1"/>
  <c r="BP6" i="18"/>
  <c r="BQ6" i="18"/>
  <c r="BX6" i="18"/>
  <c r="BY6" i="18"/>
  <c r="CG6" i="18"/>
  <c r="CH6" i="18"/>
  <c r="CO6" i="18"/>
  <c r="CP6" i="18"/>
  <c r="CV6" i="18"/>
  <c r="AR7" i="18"/>
  <c r="AT7" i="18"/>
  <c r="BF7" i="18"/>
  <c r="BN7" i="18" s="1"/>
  <c r="BH7" i="18"/>
  <c r="AW7" i="18" s="1"/>
  <c r="AY7" i="18" s="1"/>
  <c r="BI7" i="18"/>
  <c r="AX7" i="18" s="1"/>
  <c r="BQ7" i="18"/>
  <c r="BR7" i="18"/>
  <c r="BX7" i="18"/>
  <c r="BY7" i="18"/>
  <c r="BZ7" i="18"/>
  <c r="CG7" i="18"/>
  <c r="CH7" i="18"/>
  <c r="CI7" i="18"/>
  <c r="CO7" i="18"/>
  <c r="CP7" i="18"/>
  <c r="CQ7" i="18"/>
  <c r="CV7" i="18"/>
  <c r="AR8" i="18"/>
  <c r="AT8" i="18"/>
  <c r="BF8" i="18"/>
  <c r="BH8" i="18"/>
  <c r="AW8" i="18" s="1"/>
  <c r="BI8" i="18"/>
  <c r="AX8" i="18" s="1"/>
  <c r="BK8" i="18"/>
  <c r="BL8" i="18"/>
  <c r="BM8" i="18"/>
  <c r="BN8" i="18"/>
  <c r="BQ8" i="18"/>
  <c r="BR8" i="18"/>
  <c r="BS8" i="18"/>
  <c r="BT8" i="18"/>
  <c r="BU8" i="18"/>
  <c r="BV8" i="18"/>
  <c r="BW8" i="18"/>
  <c r="BX8" i="18"/>
  <c r="BY8" i="18"/>
  <c r="BZ8" i="18"/>
  <c r="CA8" i="18"/>
  <c r="CB8" i="18"/>
  <c r="CD8" i="18"/>
  <c r="CE8" i="18"/>
  <c r="CF8" i="18"/>
  <c r="CG8" i="18"/>
  <c r="CH8" i="18"/>
  <c r="CI8" i="18"/>
  <c r="CJ8" i="18"/>
  <c r="CK8" i="18"/>
  <c r="CL8" i="18"/>
  <c r="CM8" i="18"/>
  <c r="CN8" i="18"/>
  <c r="CO8" i="18"/>
  <c r="CP8" i="18"/>
  <c r="CQ8" i="18"/>
  <c r="CR8" i="18"/>
  <c r="CS8" i="18"/>
  <c r="CV8" i="18"/>
  <c r="AR9" i="18"/>
  <c r="AT9" i="18"/>
  <c r="AU9" i="18"/>
  <c r="BP9" i="18" s="1"/>
  <c r="AV9" i="18"/>
  <c r="BO9" i="18" s="1"/>
  <c r="BF9" i="18"/>
  <c r="BM9" i="18" s="1"/>
  <c r="BH9" i="18"/>
  <c r="AW9" i="18" s="1"/>
  <c r="AY9" i="18" s="1"/>
  <c r="BI9" i="18"/>
  <c r="AX9" i="18" s="1"/>
  <c r="BK9" i="18"/>
  <c r="BL9" i="18"/>
  <c r="BN9" i="18"/>
  <c r="BQ9" i="18"/>
  <c r="BR9" i="18"/>
  <c r="BS9" i="18"/>
  <c r="BT9" i="18"/>
  <c r="BV9" i="18"/>
  <c r="BW9" i="18"/>
  <c r="BX9" i="18"/>
  <c r="BY9" i="18"/>
  <c r="BZ9" i="18"/>
  <c r="CY9" i="18" s="1"/>
  <c r="CA9" i="18"/>
  <c r="CB9" i="18"/>
  <c r="CE9" i="18"/>
  <c r="CF9" i="18"/>
  <c r="CG9" i="18"/>
  <c r="CH9" i="18"/>
  <c r="CI9" i="18"/>
  <c r="CJ9" i="18"/>
  <c r="CK9" i="18"/>
  <c r="CM9" i="18"/>
  <c r="CN9" i="18"/>
  <c r="CO9" i="18"/>
  <c r="CP9" i="18"/>
  <c r="CQ9" i="18"/>
  <c r="CR9" i="18"/>
  <c r="CS9" i="18"/>
  <c r="CV9" i="18"/>
  <c r="AR11" i="18"/>
  <c r="AT11" i="18"/>
  <c r="AU11" i="18"/>
  <c r="BP11" i="18" s="1"/>
  <c r="AV11" i="18"/>
  <c r="BO11" i="18" s="1"/>
  <c r="AW11" i="18"/>
  <c r="BF11" i="18"/>
  <c r="BN11" i="18" s="1"/>
  <c r="BH11" i="18"/>
  <c r="BI11" i="18"/>
  <c r="AX11" i="18" s="1"/>
  <c r="BK11" i="18"/>
  <c r="BL11" i="18"/>
  <c r="BM11" i="18"/>
  <c r="BQ11" i="18"/>
  <c r="BR11" i="18"/>
  <c r="BS11" i="18"/>
  <c r="BT11" i="18"/>
  <c r="BU11" i="18"/>
  <c r="BX11" i="18"/>
  <c r="BY11" i="18"/>
  <c r="BZ11" i="18"/>
  <c r="CA11" i="18"/>
  <c r="CB11" i="18"/>
  <c r="CD11" i="18"/>
  <c r="CF11" i="18"/>
  <c r="CG11" i="18"/>
  <c r="CH11" i="18"/>
  <c r="CI11" i="18"/>
  <c r="CJ11" i="18"/>
  <c r="CK11" i="18"/>
  <c r="CL11" i="18"/>
  <c r="CN11" i="18"/>
  <c r="CO11" i="18"/>
  <c r="CP11" i="18"/>
  <c r="CQ11" i="18"/>
  <c r="CR11" i="18"/>
  <c r="CS11" i="18"/>
  <c r="CV11" i="18"/>
  <c r="AR12" i="18"/>
  <c r="AT12" i="18"/>
  <c r="AU12" i="18"/>
  <c r="BP12" i="18" s="1"/>
  <c r="AV12" i="18"/>
  <c r="BO12" i="18" s="1"/>
  <c r="AW12" i="18"/>
  <c r="AX12" i="18"/>
  <c r="BF12" i="18"/>
  <c r="BW12" i="18" s="1"/>
  <c r="BH12" i="18"/>
  <c r="BI12" i="18"/>
  <c r="BK12" i="18"/>
  <c r="BL12" i="18"/>
  <c r="BM12" i="18"/>
  <c r="BN12" i="18"/>
  <c r="BQ12" i="18"/>
  <c r="BR12" i="18"/>
  <c r="BS12" i="18"/>
  <c r="BT12" i="18"/>
  <c r="BU12" i="18"/>
  <c r="BV12" i="18"/>
  <c r="BX12" i="18"/>
  <c r="BY12" i="18"/>
  <c r="BZ12" i="18"/>
  <c r="CY12" i="18" s="1"/>
  <c r="CA12" i="18"/>
  <c r="CB12" i="18"/>
  <c r="CD12" i="18"/>
  <c r="CE12" i="18"/>
  <c r="CG12" i="18"/>
  <c r="CH12" i="18"/>
  <c r="CI12" i="18"/>
  <c r="CJ12" i="18"/>
  <c r="CK12" i="18"/>
  <c r="CL12" i="18"/>
  <c r="CM12" i="18"/>
  <c r="CO12" i="18"/>
  <c r="CP12" i="18"/>
  <c r="CQ12" i="18"/>
  <c r="CR12" i="18"/>
  <c r="CS12" i="18"/>
  <c r="CV12" i="18"/>
  <c r="AR13" i="18"/>
  <c r="AT13" i="18"/>
  <c r="AU13" i="18" s="1"/>
  <c r="BP13" i="18" s="1"/>
  <c r="CX13" i="18" s="1"/>
  <c r="AV13" i="18"/>
  <c r="AW13" i="18"/>
  <c r="AX13" i="18"/>
  <c r="AY13" i="18"/>
  <c r="BF13" i="18"/>
  <c r="BH13" i="18"/>
  <c r="BI13" i="18"/>
  <c r="BK13" i="18"/>
  <c r="BL13" i="18"/>
  <c r="BM13" i="18"/>
  <c r="BN13" i="18"/>
  <c r="BO13" i="18"/>
  <c r="BQ13" i="18"/>
  <c r="BR13" i="18"/>
  <c r="BS13" i="18"/>
  <c r="BT13" i="18"/>
  <c r="BU13" i="18"/>
  <c r="BV13" i="18"/>
  <c r="BW13" i="18"/>
  <c r="BX13" i="18"/>
  <c r="BY13" i="18"/>
  <c r="BZ13" i="18"/>
  <c r="CA13" i="18"/>
  <c r="CB13" i="18"/>
  <c r="CD13" i="18"/>
  <c r="CE13" i="18"/>
  <c r="CF13" i="18"/>
  <c r="CG13" i="18"/>
  <c r="CH13" i="18"/>
  <c r="CI13" i="18"/>
  <c r="CJ13" i="18"/>
  <c r="CK13" i="18"/>
  <c r="CL13" i="18"/>
  <c r="CM13" i="18"/>
  <c r="CN13" i="18"/>
  <c r="CO13" i="18"/>
  <c r="CP13" i="18"/>
  <c r="CQ13" i="18"/>
  <c r="CR13" i="18"/>
  <c r="CS13" i="18"/>
  <c r="CV13" i="18"/>
  <c r="CY13" i="18"/>
  <c r="AR14" i="18"/>
  <c r="AT14" i="18"/>
  <c r="AV14" i="18" s="1"/>
  <c r="BF14" i="18"/>
  <c r="BH14" i="18"/>
  <c r="BI14" i="18"/>
  <c r="CG14" i="18"/>
  <c r="CN14" i="18"/>
  <c r="CO14" i="18"/>
  <c r="CV14" i="18"/>
  <c r="AR15" i="18"/>
  <c r="AT15" i="18"/>
  <c r="AU15" i="18"/>
  <c r="AV15" i="18"/>
  <c r="BF15" i="18"/>
  <c r="BH15" i="18"/>
  <c r="AW15" i="18" s="1"/>
  <c r="BI15" i="18"/>
  <c r="CH15" i="18"/>
  <c r="CO15" i="18"/>
  <c r="CV15" i="18"/>
  <c r="AR16" i="18"/>
  <c r="AT16" i="18"/>
  <c r="BF16" i="18"/>
  <c r="BN16" i="18" s="1"/>
  <c r="BH16" i="18"/>
  <c r="AW16" i="18" s="1"/>
  <c r="BI16" i="18"/>
  <c r="AX16" i="18" s="1"/>
  <c r="BQ16" i="18"/>
  <c r="BR16" i="18"/>
  <c r="BX16" i="18"/>
  <c r="BY16" i="18"/>
  <c r="BZ16" i="18"/>
  <c r="CG16" i="18"/>
  <c r="CH16" i="18"/>
  <c r="CI16" i="18"/>
  <c r="CO16" i="18"/>
  <c r="CP16" i="18"/>
  <c r="CQ16" i="18"/>
  <c r="CV16" i="18"/>
  <c r="AR17" i="18"/>
  <c r="AT17" i="18"/>
  <c r="AV17" i="18" s="1"/>
  <c r="BO17" i="18" s="1"/>
  <c r="AU17" i="18"/>
  <c r="BP17" i="18" s="1"/>
  <c r="BF17" i="18"/>
  <c r="BW17" i="18" s="1"/>
  <c r="BH17" i="18"/>
  <c r="AW17" i="18" s="1"/>
  <c r="AY17" i="18" s="1"/>
  <c r="BI17" i="18"/>
  <c r="AX17" i="18" s="1"/>
  <c r="BK17" i="18"/>
  <c r="BQ17" i="18"/>
  <c r="BR17" i="18"/>
  <c r="BS17" i="18"/>
  <c r="BU17" i="18"/>
  <c r="BX17" i="18"/>
  <c r="BY17" i="18"/>
  <c r="BZ17" i="18"/>
  <c r="CA17" i="18"/>
  <c r="CD17" i="18"/>
  <c r="CG17" i="18"/>
  <c r="CH17" i="18"/>
  <c r="CI17" i="18"/>
  <c r="CJ17" i="18"/>
  <c r="CL17" i="18"/>
  <c r="CO17" i="18"/>
  <c r="CP17" i="18"/>
  <c r="CQ17" i="18"/>
  <c r="CR17" i="18"/>
  <c r="CV17" i="18"/>
  <c r="AR18" i="18"/>
  <c r="AT18" i="18"/>
  <c r="AU18" i="18"/>
  <c r="BP18" i="18" s="1"/>
  <c r="AV18" i="18"/>
  <c r="BO18" i="18" s="1"/>
  <c r="BF18" i="18"/>
  <c r="BM18" i="18" s="1"/>
  <c r="BH18" i="18"/>
  <c r="AW18" i="18" s="1"/>
  <c r="BI18" i="18"/>
  <c r="AX18" i="18" s="1"/>
  <c r="BK18" i="18"/>
  <c r="BL18" i="18"/>
  <c r="BN18" i="18"/>
  <c r="BQ18" i="18"/>
  <c r="BR18" i="18"/>
  <c r="BS18" i="18"/>
  <c r="BT18" i="18"/>
  <c r="BV18" i="18"/>
  <c r="BW18" i="18"/>
  <c r="BX18" i="18"/>
  <c r="BY18" i="18"/>
  <c r="BZ18" i="18"/>
  <c r="CY18" i="18" s="1"/>
  <c r="CA18" i="18"/>
  <c r="CB18" i="18"/>
  <c r="CD18" i="18"/>
  <c r="CE18" i="18"/>
  <c r="CF18" i="18"/>
  <c r="CG18" i="18"/>
  <c r="CH18" i="18"/>
  <c r="CI18" i="18"/>
  <c r="CJ18" i="18"/>
  <c r="CK18" i="18"/>
  <c r="CL18" i="18"/>
  <c r="CM18" i="18"/>
  <c r="CN18" i="18"/>
  <c r="CO18" i="18"/>
  <c r="CP18" i="18"/>
  <c r="CQ18" i="18"/>
  <c r="CR18" i="18"/>
  <c r="CS18" i="18"/>
  <c r="CV18" i="18"/>
  <c r="AR19" i="18"/>
  <c r="AT19" i="18"/>
  <c r="AU19" i="18"/>
  <c r="BP19" i="18" s="1"/>
  <c r="AV19" i="18"/>
  <c r="BO19" i="18" s="1"/>
  <c r="AW19" i="18"/>
  <c r="AY19" i="18" s="1"/>
  <c r="BF19" i="18"/>
  <c r="BN19" i="18" s="1"/>
  <c r="BH19" i="18"/>
  <c r="BI19" i="18"/>
  <c r="AX19" i="18" s="1"/>
  <c r="BK19" i="18"/>
  <c r="BL19" i="18"/>
  <c r="BM19" i="18"/>
  <c r="BQ19" i="18"/>
  <c r="BR19" i="18"/>
  <c r="BS19" i="18"/>
  <c r="BT19" i="18"/>
  <c r="BU19" i="18"/>
  <c r="BW19" i="18"/>
  <c r="BX19" i="18"/>
  <c r="BY19" i="18"/>
  <c r="BZ19" i="18"/>
  <c r="CY19" i="18" s="1"/>
  <c r="CA19" i="18"/>
  <c r="CB19" i="18"/>
  <c r="CD19" i="18"/>
  <c r="CE19" i="18"/>
  <c r="CF19" i="18"/>
  <c r="CG19" i="18"/>
  <c r="CH19" i="18"/>
  <c r="CI19" i="18"/>
  <c r="CJ19" i="18"/>
  <c r="CK19" i="18"/>
  <c r="CL19" i="18"/>
  <c r="CM19" i="18"/>
  <c r="CN19" i="18"/>
  <c r="CO19" i="18"/>
  <c r="CP19" i="18"/>
  <c r="CQ19" i="18"/>
  <c r="CR19" i="18"/>
  <c r="CS19" i="18"/>
  <c r="CV19" i="18"/>
  <c r="AR20" i="18"/>
  <c r="AT20" i="18"/>
  <c r="AU20" i="18"/>
  <c r="BP20" i="18" s="1"/>
  <c r="AV20" i="18"/>
  <c r="BO20" i="18" s="1"/>
  <c r="AW20" i="18"/>
  <c r="AX20" i="18"/>
  <c r="BF20" i="18"/>
  <c r="BR20" i="18" s="1"/>
  <c r="BH20" i="18"/>
  <c r="BI20" i="18"/>
  <c r="BK20" i="18"/>
  <c r="BL20" i="18"/>
  <c r="BM20" i="18"/>
  <c r="BN20" i="18"/>
  <c r="BQ20" i="18"/>
  <c r="BS20" i="18"/>
  <c r="BT20" i="18"/>
  <c r="BU20" i="18"/>
  <c r="BV20" i="18"/>
  <c r="BX20" i="18"/>
  <c r="BY20" i="18"/>
  <c r="BZ20" i="18"/>
  <c r="CY20" i="18" s="1"/>
  <c r="CA20" i="18"/>
  <c r="CB20" i="18"/>
  <c r="CD20" i="18"/>
  <c r="CE20" i="18"/>
  <c r="CG20" i="18"/>
  <c r="CH20" i="18"/>
  <c r="CI20" i="18"/>
  <c r="CJ20" i="18"/>
  <c r="CK20" i="18"/>
  <c r="CL20" i="18"/>
  <c r="CM20" i="18"/>
  <c r="CO20" i="18"/>
  <c r="CP20" i="18"/>
  <c r="CQ20" i="18"/>
  <c r="CR20" i="18"/>
  <c r="CS20" i="18"/>
  <c r="CV20" i="18"/>
  <c r="AR21" i="18"/>
  <c r="AT21" i="18"/>
  <c r="AU21" i="18" s="1"/>
  <c r="BP21" i="18" s="1"/>
  <c r="AW21" i="18"/>
  <c r="AX21" i="18"/>
  <c r="AY21" i="18"/>
  <c r="BF21" i="18"/>
  <c r="BH21" i="18"/>
  <c r="BI21" i="18"/>
  <c r="BK21" i="18"/>
  <c r="BL21" i="18"/>
  <c r="BM21" i="18"/>
  <c r="BN21" i="18"/>
  <c r="BQ21" i="18"/>
  <c r="BR21" i="18"/>
  <c r="BS21" i="18"/>
  <c r="BT21" i="18"/>
  <c r="BU21" i="18"/>
  <c r="BV21" i="18"/>
  <c r="BW21" i="18"/>
  <c r="BX21" i="18"/>
  <c r="BY21" i="18"/>
  <c r="BZ21" i="18"/>
  <c r="CA21" i="18"/>
  <c r="CB21" i="18"/>
  <c r="CD21" i="18"/>
  <c r="CE21" i="18"/>
  <c r="CF21" i="18"/>
  <c r="CG21" i="18"/>
  <c r="CH21" i="18"/>
  <c r="CI21" i="18"/>
  <c r="CJ21" i="18"/>
  <c r="CK21" i="18"/>
  <c r="CL21" i="18"/>
  <c r="CM21" i="18"/>
  <c r="CN21" i="18"/>
  <c r="CO21" i="18"/>
  <c r="CP21" i="18"/>
  <c r="CQ21" i="18"/>
  <c r="CR21" i="18"/>
  <c r="CS21" i="18"/>
  <c r="CV21" i="18"/>
  <c r="CY21" i="18"/>
  <c r="AR22" i="18"/>
  <c r="AT22" i="18"/>
  <c r="AV22" i="18" s="1"/>
  <c r="BO22" i="18" s="1"/>
  <c r="AX22" i="18"/>
  <c r="BF22" i="18"/>
  <c r="CE22" i="18" s="1"/>
  <c r="BH22" i="18"/>
  <c r="BI22" i="18"/>
  <c r="BN22" i="18"/>
  <c r="BV22" i="18"/>
  <c r="BW22" i="18"/>
  <c r="BX22" i="18"/>
  <c r="CG22" i="18"/>
  <c r="CM22" i="18"/>
  <c r="CN22" i="18"/>
  <c r="CO22" i="18"/>
  <c r="CV22" i="18"/>
  <c r="AR23" i="18"/>
  <c r="AT23" i="18"/>
  <c r="AU23" i="18"/>
  <c r="AV23" i="18"/>
  <c r="BF23" i="18"/>
  <c r="BX23" i="18" s="1"/>
  <c r="BH23" i="18"/>
  <c r="BI23" i="18"/>
  <c r="BO23" i="18"/>
  <c r="BP23" i="18"/>
  <c r="BQ23" i="18"/>
  <c r="BS23" i="18"/>
  <c r="BW23" i="18"/>
  <c r="CB23" i="18"/>
  <c r="CF23" i="18"/>
  <c r="CG23" i="18"/>
  <c r="CH23" i="18"/>
  <c r="CJ23" i="18"/>
  <c r="CO23" i="18"/>
  <c r="CP23" i="18"/>
  <c r="CR23" i="18"/>
  <c r="CS23" i="18"/>
  <c r="CV23" i="18"/>
  <c r="AR24" i="18"/>
  <c r="AT24" i="18"/>
  <c r="AU24" i="18" s="1"/>
  <c r="AV24" i="18"/>
  <c r="AW24" i="18"/>
  <c r="BF24" i="18"/>
  <c r="BU24" i="18" s="1"/>
  <c r="BH24" i="18"/>
  <c r="BI24" i="18"/>
  <c r="BM24" i="18"/>
  <c r="BO24" i="18"/>
  <c r="BP24" i="18"/>
  <c r="BQ24" i="18"/>
  <c r="BR24" i="18"/>
  <c r="BT24" i="18"/>
  <c r="BX24" i="18"/>
  <c r="BY24" i="18"/>
  <c r="BZ24" i="18"/>
  <c r="CA24" i="18"/>
  <c r="CB24" i="18"/>
  <c r="CD24" i="18"/>
  <c r="CH24" i="18"/>
  <c r="CI24" i="18"/>
  <c r="CJ24" i="18"/>
  <c r="CK24" i="18"/>
  <c r="CL24" i="18"/>
  <c r="CN24" i="18"/>
  <c r="CQ24" i="18"/>
  <c r="CR24" i="18"/>
  <c r="CS24" i="18"/>
  <c r="CV24" i="18"/>
  <c r="AR25" i="18"/>
  <c r="AT25" i="18"/>
  <c r="AU25" i="18" s="1"/>
  <c r="BP25" i="18" s="1"/>
  <c r="AV25" i="18"/>
  <c r="AX25" i="18"/>
  <c r="BF25" i="18"/>
  <c r="BH25" i="18"/>
  <c r="BI25" i="18"/>
  <c r="BQ25" i="18"/>
  <c r="BX25" i="18"/>
  <c r="BY25" i="18"/>
  <c r="CG25" i="18"/>
  <c r="CH25" i="18"/>
  <c r="CO25" i="18"/>
  <c r="CP25" i="18"/>
  <c r="CV25" i="18"/>
  <c r="AR26" i="18"/>
  <c r="AT26" i="18"/>
  <c r="BF26" i="18"/>
  <c r="BK26" i="18" s="1"/>
  <c r="BH26" i="18"/>
  <c r="AW26" i="18" s="1"/>
  <c r="AY26" i="18" s="1"/>
  <c r="BI26" i="18"/>
  <c r="AX26" i="18" s="1"/>
  <c r="BQ26" i="18"/>
  <c r="BR26" i="18"/>
  <c r="BX26" i="18"/>
  <c r="BY26" i="18"/>
  <c r="BZ26" i="18"/>
  <c r="CG26" i="18"/>
  <c r="CH26" i="18"/>
  <c r="CI26" i="18"/>
  <c r="CO26" i="18"/>
  <c r="CP26" i="18"/>
  <c r="CQ26" i="18"/>
  <c r="CV26" i="18"/>
  <c r="AR27" i="18"/>
  <c r="AT27" i="18"/>
  <c r="AV27" i="18" s="1"/>
  <c r="BO27" i="18" s="1"/>
  <c r="AU27" i="18"/>
  <c r="BP27" i="18" s="1"/>
  <c r="BF27" i="18"/>
  <c r="BL27" i="18" s="1"/>
  <c r="BH27" i="18"/>
  <c r="AW27" i="18" s="1"/>
  <c r="BI27" i="18"/>
  <c r="AX27" i="18" s="1"/>
  <c r="BK27" i="18"/>
  <c r="BQ27" i="18"/>
  <c r="BR27" i="18"/>
  <c r="BS27" i="18"/>
  <c r="BX27" i="18"/>
  <c r="BY27" i="18"/>
  <c r="BZ27" i="18"/>
  <c r="CA27" i="18"/>
  <c r="CG27" i="18"/>
  <c r="CH27" i="18"/>
  <c r="CI27" i="18"/>
  <c r="CJ27" i="18"/>
  <c r="CO27" i="18"/>
  <c r="CP27" i="18"/>
  <c r="CQ27" i="18"/>
  <c r="CR27" i="18"/>
  <c r="CV27" i="18"/>
  <c r="AR28" i="18"/>
  <c r="AT28" i="18"/>
  <c r="AU28" i="18"/>
  <c r="BP28" i="18" s="1"/>
  <c r="AV28" i="18"/>
  <c r="BO28" i="18" s="1"/>
  <c r="BF28" i="18"/>
  <c r="BH28" i="18"/>
  <c r="AW28" i="18" s="1"/>
  <c r="BI28" i="18"/>
  <c r="AX28" i="18" s="1"/>
  <c r="BK28" i="18"/>
  <c r="BL28" i="18"/>
  <c r="BM28" i="18"/>
  <c r="BN28" i="18"/>
  <c r="BQ28" i="18"/>
  <c r="BR28" i="18"/>
  <c r="BS28" i="18"/>
  <c r="BT28" i="18"/>
  <c r="BU28" i="18"/>
  <c r="BV28" i="18"/>
  <c r="BW28" i="18"/>
  <c r="BX28" i="18"/>
  <c r="BY28" i="18"/>
  <c r="BZ28" i="18"/>
  <c r="CA28" i="18"/>
  <c r="CB28" i="18"/>
  <c r="CD28" i="18"/>
  <c r="CE28" i="18"/>
  <c r="CF28" i="18"/>
  <c r="CG28" i="18"/>
  <c r="CH28" i="18"/>
  <c r="CI28" i="18"/>
  <c r="CJ28" i="18"/>
  <c r="CK28" i="18"/>
  <c r="CL28" i="18"/>
  <c r="CM28" i="18"/>
  <c r="CN28" i="18"/>
  <c r="CO28" i="18"/>
  <c r="CP28" i="18"/>
  <c r="CQ28" i="18"/>
  <c r="CR28" i="18"/>
  <c r="CS28" i="18"/>
  <c r="CV28" i="18"/>
  <c r="AR29" i="18"/>
  <c r="AT29" i="18"/>
  <c r="AU29" i="18"/>
  <c r="BP29" i="18" s="1"/>
  <c r="AV29" i="18"/>
  <c r="BO29" i="18" s="1"/>
  <c r="AW29" i="18"/>
  <c r="BF29" i="18"/>
  <c r="BH29" i="18"/>
  <c r="BI29" i="18"/>
  <c r="AX29" i="18" s="1"/>
  <c r="BK29" i="18"/>
  <c r="BL29" i="18"/>
  <c r="BM29" i="18"/>
  <c r="BN29" i="18"/>
  <c r="BQ29" i="18"/>
  <c r="BR29" i="18"/>
  <c r="BS29" i="18"/>
  <c r="BT29" i="18"/>
  <c r="BU29" i="18"/>
  <c r="BV29" i="18"/>
  <c r="BW29" i="18"/>
  <c r="BX29" i="18"/>
  <c r="BY29" i="18"/>
  <c r="BZ29" i="18"/>
  <c r="CA29" i="18"/>
  <c r="CB29" i="18"/>
  <c r="CD29" i="18"/>
  <c r="CE29" i="18"/>
  <c r="CF29" i="18"/>
  <c r="CG29" i="18"/>
  <c r="CH29" i="18"/>
  <c r="CI29" i="18"/>
  <c r="CJ29" i="18"/>
  <c r="CK29" i="18"/>
  <c r="CL29" i="18"/>
  <c r="CM29" i="18"/>
  <c r="CN29" i="18"/>
  <c r="CO29" i="18"/>
  <c r="CP29" i="18"/>
  <c r="CQ29" i="18"/>
  <c r="CR29" i="18"/>
  <c r="CS29" i="18"/>
  <c r="CV29" i="18"/>
  <c r="AR30" i="18"/>
  <c r="AT30" i="18"/>
  <c r="AU30" i="18"/>
  <c r="BP30" i="18" s="1"/>
  <c r="AV30" i="18"/>
  <c r="BO30" i="18" s="1"/>
  <c r="AW30" i="18"/>
  <c r="AX30" i="18"/>
  <c r="BF30" i="18"/>
  <c r="BQ30" i="18" s="1"/>
  <c r="BH30" i="18"/>
  <c r="BI30" i="18"/>
  <c r="BK30" i="18"/>
  <c r="BL30" i="18"/>
  <c r="BM30" i="18"/>
  <c r="BN30" i="18"/>
  <c r="BR30" i="18"/>
  <c r="BS30" i="18"/>
  <c r="BT30" i="18"/>
  <c r="BU30" i="18"/>
  <c r="BV30" i="18"/>
  <c r="BW30" i="18"/>
  <c r="BX30" i="18"/>
  <c r="BZ30" i="18"/>
  <c r="CA30" i="18"/>
  <c r="CB30" i="18"/>
  <c r="CD30" i="18"/>
  <c r="CE30" i="18"/>
  <c r="CF30" i="18"/>
  <c r="CG30" i="18"/>
  <c r="CI30" i="18"/>
  <c r="CJ30" i="18"/>
  <c r="CK30" i="18"/>
  <c r="CL30" i="18"/>
  <c r="CM30" i="18"/>
  <c r="CN30" i="18"/>
  <c r="CO30" i="18"/>
  <c r="CQ30" i="18"/>
  <c r="CR30" i="18"/>
  <c r="CS30" i="18"/>
  <c r="CV30" i="18"/>
  <c r="AR31" i="18"/>
  <c r="AT31" i="18"/>
  <c r="AU31" i="18"/>
  <c r="AV31" i="18"/>
  <c r="AW31" i="18"/>
  <c r="AX31" i="18"/>
  <c r="AY31" i="18"/>
  <c r="BF31" i="18"/>
  <c r="BR31" i="18" s="1"/>
  <c r="BH31" i="18"/>
  <c r="BI31" i="18"/>
  <c r="BK31" i="18"/>
  <c r="BL31" i="18"/>
  <c r="BM31" i="18"/>
  <c r="BN31" i="18"/>
  <c r="BO31" i="18"/>
  <c r="BP31" i="18"/>
  <c r="BQ31" i="18"/>
  <c r="BS31" i="18"/>
  <c r="BT31" i="18"/>
  <c r="BU31" i="18"/>
  <c r="BV31" i="18"/>
  <c r="BW31" i="18"/>
  <c r="BX31" i="18"/>
  <c r="BY31" i="18"/>
  <c r="CA31" i="18"/>
  <c r="CB31" i="18"/>
  <c r="CD31" i="18"/>
  <c r="CE31" i="18"/>
  <c r="CF31" i="18"/>
  <c r="CG31" i="18"/>
  <c r="CH31" i="18"/>
  <c r="CJ31" i="18"/>
  <c r="CK31" i="18"/>
  <c r="CL31" i="18"/>
  <c r="CM31" i="18"/>
  <c r="CN31" i="18"/>
  <c r="CO31" i="18"/>
  <c r="CP31" i="18"/>
  <c r="CR31" i="18"/>
  <c r="CS31" i="18"/>
  <c r="CV31" i="18"/>
  <c r="AR32" i="18"/>
  <c r="AT32" i="18"/>
  <c r="AU32" i="18" s="1"/>
  <c r="AX32" i="18"/>
  <c r="BF32" i="18"/>
  <c r="BH32" i="18"/>
  <c r="BI32" i="18"/>
  <c r="BV32" i="18"/>
  <c r="BW32" i="18"/>
  <c r="BX32" i="18"/>
  <c r="CE32" i="18"/>
  <c r="CF32" i="18"/>
  <c r="CN32" i="18"/>
  <c r="CO32" i="18"/>
  <c r="CV32" i="18"/>
  <c r="AR33" i="18"/>
  <c r="AT33" i="18"/>
  <c r="AU33" i="18" s="1"/>
  <c r="BF33" i="18"/>
  <c r="BX33" i="18" s="1"/>
  <c r="BH33" i="18"/>
  <c r="BI33" i="18"/>
  <c r="BN33" i="18"/>
  <c r="BW33" i="18"/>
  <c r="BY33" i="18"/>
  <c r="CE33" i="18"/>
  <c r="CN33" i="18"/>
  <c r="CP33" i="18"/>
  <c r="CV33" i="18"/>
  <c r="AR34" i="18"/>
  <c r="AT34" i="18"/>
  <c r="BF34" i="18"/>
  <c r="BH34" i="18"/>
  <c r="AW34" i="18" s="1"/>
  <c r="BI34" i="18"/>
  <c r="AX34" i="18" s="1"/>
  <c r="BR34" i="18"/>
  <c r="BW34" i="18"/>
  <c r="BX34" i="18"/>
  <c r="BY34" i="18"/>
  <c r="BZ34" i="18"/>
  <c r="CI34" i="18"/>
  <c r="CN34" i="18"/>
  <c r="CO34" i="18"/>
  <c r="CP34" i="18"/>
  <c r="CQ34" i="18"/>
  <c r="CV34" i="18"/>
  <c r="AR35" i="18"/>
  <c r="AT35" i="18"/>
  <c r="AV35" i="18" s="1"/>
  <c r="BO35" i="18" s="1"/>
  <c r="AU35" i="18"/>
  <c r="BP35" i="18" s="1"/>
  <c r="BF35" i="18"/>
  <c r="BH35" i="18"/>
  <c r="AW35" i="18" s="1"/>
  <c r="BI35" i="18"/>
  <c r="AX35" i="18" s="1"/>
  <c r="BR35" i="18"/>
  <c r="BS35" i="18"/>
  <c r="BX35" i="18"/>
  <c r="BY35" i="18"/>
  <c r="BZ35" i="18"/>
  <c r="CI35" i="18"/>
  <c r="CJ35" i="18"/>
  <c r="CL35" i="18"/>
  <c r="CO35" i="18"/>
  <c r="CP35" i="18"/>
  <c r="CV35" i="18"/>
  <c r="AR36" i="18"/>
  <c r="AT36" i="18"/>
  <c r="AU36" i="18" s="1"/>
  <c r="BP36" i="18" s="1"/>
  <c r="AV36" i="18"/>
  <c r="BO36" i="18" s="1"/>
  <c r="AW36" i="18"/>
  <c r="AY36" i="18" s="1"/>
  <c r="BF36" i="18"/>
  <c r="BW36" i="18" s="1"/>
  <c r="BH36" i="18"/>
  <c r="BI36" i="18"/>
  <c r="AX36" i="18" s="1"/>
  <c r="BK36" i="18"/>
  <c r="BL36" i="18"/>
  <c r="BM36" i="18"/>
  <c r="BN36" i="18"/>
  <c r="BQ36" i="18"/>
  <c r="BR36" i="18"/>
  <c r="BS36" i="18"/>
  <c r="BT36" i="18"/>
  <c r="BU36" i="18"/>
  <c r="BV36" i="18"/>
  <c r="BX36" i="18"/>
  <c r="BY36" i="18"/>
  <c r="BZ36" i="18"/>
  <c r="CA36" i="18"/>
  <c r="CB36" i="18"/>
  <c r="CD36" i="18"/>
  <c r="CE36" i="18"/>
  <c r="CG36" i="18"/>
  <c r="CH36" i="18"/>
  <c r="CI36" i="18"/>
  <c r="CJ36" i="18"/>
  <c r="CK36" i="18"/>
  <c r="CL36" i="18"/>
  <c r="CM36" i="18"/>
  <c r="CO36" i="18"/>
  <c r="CP36" i="18"/>
  <c r="CQ36" i="18"/>
  <c r="CR36" i="18"/>
  <c r="CS36" i="18"/>
  <c r="CV36" i="18"/>
  <c r="AR37" i="18"/>
  <c r="AT37" i="18"/>
  <c r="AU37" i="18" s="1"/>
  <c r="BP37" i="18" s="1"/>
  <c r="AV37" i="18"/>
  <c r="BO37" i="18" s="1"/>
  <c r="AW37" i="18"/>
  <c r="AY37" i="18" s="1"/>
  <c r="BF37" i="18"/>
  <c r="BG37" i="18"/>
  <c r="BS37" i="18" s="1"/>
  <c r="BH37" i="18"/>
  <c r="BI37" i="18"/>
  <c r="AX37" i="18" s="1"/>
  <c r="BK37" i="18"/>
  <c r="BL37" i="18"/>
  <c r="BQ37" i="18"/>
  <c r="BR37" i="18"/>
  <c r="BT37" i="18"/>
  <c r="BU37" i="18"/>
  <c r="BZ37" i="18"/>
  <c r="CA37" i="18"/>
  <c r="CD37" i="18"/>
  <c r="CE37" i="18"/>
  <c r="CJ37" i="18"/>
  <c r="CK37" i="18"/>
  <c r="CM37" i="18"/>
  <c r="CO37" i="18"/>
  <c r="CS37" i="18"/>
  <c r="CV37" i="18"/>
  <c r="AR38" i="18"/>
  <c r="AT38" i="18"/>
  <c r="BF38" i="18"/>
  <c r="BH38" i="18"/>
  <c r="AW38" i="18" s="1"/>
  <c r="AY38" i="18" s="1"/>
  <c r="BI38" i="18"/>
  <c r="AX38" i="18" s="1"/>
  <c r="BK38" i="18"/>
  <c r="BL38" i="18"/>
  <c r="BM38" i="18"/>
  <c r="BN38" i="18"/>
  <c r="BQ38" i="18"/>
  <c r="BR38" i="18"/>
  <c r="BS38" i="18"/>
  <c r="BT38" i="18"/>
  <c r="BU38" i="18"/>
  <c r="BV38" i="18"/>
  <c r="BW38" i="18"/>
  <c r="BX38" i="18"/>
  <c r="BY38" i="18"/>
  <c r="BZ38" i="18"/>
  <c r="CA38" i="18"/>
  <c r="CB38" i="18"/>
  <c r="CD38" i="18"/>
  <c r="CE38" i="18"/>
  <c r="CF38" i="18"/>
  <c r="CG38" i="18"/>
  <c r="CH38" i="18"/>
  <c r="CI38" i="18"/>
  <c r="CJ38" i="18"/>
  <c r="CK38" i="18"/>
  <c r="CL38" i="18"/>
  <c r="CM38" i="18"/>
  <c r="CN38" i="18"/>
  <c r="CO38" i="18"/>
  <c r="CP38" i="18"/>
  <c r="CQ38" i="18"/>
  <c r="CR38" i="18"/>
  <c r="CS38" i="18"/>
  <c r="CV38" i="18"/>
  <c r="AR39" i="18"/>
  <c r="AT39" i="18"/>
  <c r="AU39" i="18"/>
  <c r="BP39" i="18" s="1"/>
  <c r="AV39" i="18"/>
  <c r="BO39" i="18" s="1"/>
  <c r="BF39" i="18"/>
  <c r="BS39" i="18" s="1"/>
  <c r="BH39" i="18"/>
  <c r="BI39" i="18"/>
  <c r="AX39" i="18" s="1"/>
  <c r="BK39" i="18"/>
  <c r="BL39" i="18"/>
  <c r="BR39" i="18"/>
  <c r="BT39" i="18"/>
  <c r="BU39" i="18"/>
  <c r="BZ39" i="18"/>
  <c r="CA39" i="18"/>
  <c r="CD39" i="18"/>
  <c r="CE39" i="18"/>
  <c r="CJ39" i="18"/>
  <c r="CK39" i="18"/>
  <c r="CM39" i="18"/>
  <c r="CN39" i="18"/>
  <c r="CS39" i="18"/>
  <c r="CV39" i="18"/>
  <c r="AR40" i="18"/>
  <c r="AT40" i="18"/>
  <c r="AU40" i="18"/>
  <c r="AV40" i="18"/>
  <c r="BF40" i="18"/>
  <c r="BH40" i="18"/>
  <c r="AW40" i="18" s="1"/>
  <c r="BI40" i="18"/>
  <c r="BQ40" i="18"/>
  <c r="CJ40" i="18"/>
  <c r="CK40" i="18"/>
  <c r="CR40" i="18"/>
  <c r="CS40" i="18"/>
  <c r="CV40" i="18"/>
  <c r="AR41" i="18"/>
  <c r="AT41" i="18"/>
  <c r="AU41" i="18" s="1"/>
  <c r="BP41" i="18" s="1"/>
  <c r="AV41" i="18"/>
  <c r="BO41" i="18" s="1"/>
  <c r="AW41" i="18"/>
  <c r="BF41" i="18"/>
  <c r="BH41" i="18"/>
  <c r="BI41" i="18"/>
  <c r="AX41" i="18" s="1"/>
  <c r="BK41" i="18"/>
  <c r="BL41" i="18"/>
  <c r="BM41" i="18"/>
  <c r="BN41" i="18"/>
  <c r="BQ41" i="18"/>
  <c r="BR41" i="18"/>
  <c r="BS41" i="18"/>
  <c r="BT41" i="18"/>
  <c r="BU41" i="18"/>
  <c r="BV41" i="18"/>
  <c r="BW41" i="18"/>
  <c r="BX41" i="18"/>
  <c r="BY41" i="18"/>
  <c r="BZ41" i="18"/>
  <c r="CA41" i="18"/>
  <c r="CB41" i="18"/>
  <c r="CD41" i="18"/>
  <c r="CE41" i="18"/>
  <c r="CF41" i="18"/>
  <c r="CG41" i="18"/>
  <c r="CH41" i="18"/>
  <c r="CI41" i="18"/>
  <c r="CJ41" i="18"/>
  <c r="CK41" i="18"/>
  <c r="CL41" i="18"/>
  <c r="CM41" i="18"/>
  <c r="CN41" i="18"/>
  <c r="CO41" i="18"/>
  <c r="CP41" i="18"/>
  <c r="CQ41" i="18"/>
  <c r="CR41" i="18"/>
  <c r="CS41" i="18"/>
  <c r="CV41" i="18"/>
  <c r="AR42" i="18"/>
  <c r="AT42" i="18"/>
  <c r="AV42" i="18" s="1"/>
  <c r="BO42" i="18" s="1"/>
  <c r="AU42" i="18"/>
  <c r="BP42" i="18" s="1"/>
  <c r="AW42" i="18"/>
  <c r="AY42" i="18" s="1"/>
  <c r="AX42" i="18"/>
  <c r="BF42" i="18"/>
  <c r="BW42" i="18" s="1"/>
  <c r="BH42" i="18"/>
  <c r="BI42" i="18"/>
  <c r="BK42" i="18"/>
  <c r="BL42" i="18"/>
  <c r="BM42" i="18"/>
  <c r="BN42" i="18"/>
  <c r="BQ42" i="18"/>
  <c r="BR42" i="18"/>
  <c r="BS42" i="18"/>
  <c r="BT42" i="18"/>
  <c r="BU42" i="18"/>
  <c r="BV42" i="18"/>
  <c r="BX42" i="18"/>
  <c r="BY42" i="18"/>
  <c r="BZ42" i="18"/>
  <c r="CY42" i="18" s="1"/>
  <c r="CA42" i="18"/>
  <c r="CB42" i="18"/>
  <c r="CD42" i="18"/>
  <c r="CE42" i="18"/>
  <c r="CG42" i="18"/>
  <c r="CH42" i="18"/>
  <c r="CI42" i="18"/>
  <c r="CJ42" i="18"/>
  <c r="CK42" i="18"/>
  <c r="CL42" i="18"/>
  <c r="CM42" i="18"/>
  <c r="CO42" i="18"/>
  <c r="CP42" i="18"/>
  <c r="CQ42" i="18"/>
  <c r="CR42" i="18"/>
  <c r="CS42" i="18"/>
  <c r="CV42" i="18"/>
  <c r="AR43" i="18"/>
  <c r="AT43" i="18"/>
  <c r="AU43" i="18"/>
  <c r="BP43" i="18" s="1"/>
  <c r="AV43" i="18"/>
  <c r="AW43" i="18"/>
  <c r="AX43" i="18"/>
  <c r="AY43" i="18"/>
  <c r="BF43" i="18"/>
  <c r="BH43" i="18"/>
  <c r="BI43" i="18"/>
  <c r="BK43" i="18"/>
  <c r="BL43" i="18"/>
  <c r="BM43" i="18"/>
  <c r="BN43" i="18"/>
  <c r="BO43" i="18"/>
  <c r="CX43" i="18" s="1"/>
  <c r="BQ43" i="18"/>
  <c r="BR43" i="18"/>
  <c r="BS43" i="18"/>
  <c r="BT43" i="18"/>
  <c r="BU43" i="18"/>
  <c r="BV43" i="18"/>
  <c r="BW43" i="18"/>
  <c r="BX43" i="18"/>
  <c r="BY43" i="18"/>
  <c r="BZ43" i="18"/>
  <c r="CA43" i="18"/>
  <c r="CB43" i="18"/>
  <c r="CD43" i="18"/>
  <c r="CE43" i="18"/>
  <c r="CF43" i="18"/>
  <c r="CG43" i="18"/>
  <c r="CH43" i="18"/>
  <c r="CI43" i="18"/>
  <c r="CJ43" i="18"/>
  <c r="CK43" i="18"/>
  <c r="CL43" i="18"/>
  <c r="CM43" i="18"/>
  <c r="CN43" i="18"/>
  <c r="CO43" i="18"/>
  <c r="CP43" i="18"/>
  <c r="CQ43" i="18"/>
  <c r="CR43" i="18"/>
  <c r="CS43" i="18"/>
  <c r="CV43" i="18"/>
  <c r="CY43" i="18"/>
  <c r="AR44" i="18"/>
  <c r="AT44" i="18"/>
  <c r="AU44" i="18" s="1"/>
  <c r="BP44" i="18" s="1"/>
  <c r="AV44" i="18"/>
  <c r="AW44" i="18"/>
  <c r="BF44" i="18"/>
  <c r="BH44" i="18"/>
  <c r="BI44" i="18"/>
  <c r="BM44" i="18"/>
  <c r="BO44" i="18"/>
  <c r="BU44" i="18"/>
  <c r="BW44" i="18"/>
  <c r="BX44" i="18"/>
  <c r="CD44" i="18"/>
  <c r="CF44" i="18"/>
  <c r="CG44" i="18"/>
  <c r="CL44" i="18"/>
  <c r="CN44" i="18"/>
  <c r="CO44" i="18"/>
  <c r="CV44" i="18"/>
  <c r="AR45" i="18"/>
  <c r="AT45" i="18"/>
  <c r="AU45" i="18"/>
  <c r="AV45" i="18"/>
  <c r="BF45" i="18"/>
  <c r="CG45" i="18" s="1"/>
  <c r="BH45" i="18"/>
  <c r="AW45" i="18" s="1"/>
  <c r="BI45" i="18"/>
  <c r="BQ45" i="18"/>
  <c r="BV45" i="18"/>
  <c r="BX45" i="18"/>
  <c r="BY45" i="18"/>
  <c r="CE45" i="18"/>
  <c r="CH45" i="18"/>
  <c r="CO45" i="18"/>
  <c r="CP45" i="18"/>
  <c r="CV45" i="18"/>
  <c r="AR46" i="18"/>
  <c r="AT46" i="18"/>
  <c r="BF46" i="18"/>
  <c r="BK46" i="18" s="1"/>
  <c r="BH46" i="18"/>
  <c r="AW46" i="18" s="1"/>
  <c r="AY46" i="18" s="1"/>
  <c r="BI46" i="18"/>
  <c r="AX46" i="18" s="1"/>
  <c r="BN46" i="18"/>
  <c r="BQ46" i="18"/>
  <c r="BR46" i="18"/>
  <c r="BV46" i="18"/>
  <c r="BW46" i="18"/>
  <c r="BX46" i="18"/>
  <c r="BY46" i="18"/>
  <c r="BZ46" i="18"/>
  <c r="CE46" i="18"/>
  <c r="CF46" i="18"/>
  <c r="CG46" i="18"/>
  <c r="CH46" i="18"/>
  <c r="CI46" i="18"/>
  <c r="CM46" i="18"/>
  <c r="CN46" i="18"/>
  <c r="CO46" i="18"/>
  <c r="CP46" i="18"/>
  <c r="CQ46" i="18"/>
  <c r="CV46" i="18"/>
  <c r="AR47" i="18"/>
  <c r="AT47" i="18"/>
  <c r="AV47" i="18" s="1"/>
  <c r="BO47" i="18" s="1"/>
  <c r="AU47" i="18"/>
  <c r="BP47" i="18" s="1"/>
  <c r="BF47" i="18"/>
  <c r="BK47" i="18" s="1"/>
  <c r="BH47" i="18"/>
  <c r="AW47" i="18" s="1"/>
  <c r="BI47" i="18"/>
  <c r="AX47" i="18" s="1"/>
  <c r="BR47" i="18"/>
  <c r="BS47" i="18"/>
  <c r="BX47" i="18"/>
  <c r="BZ47" i="18"/>
  <c r="CA47" i="18"/>
  <c r="CG47" i="18"/>
  <c r="CJ47" i="18"/>
  <c r="CO47" i="18"/>
  <c r="CQ47" i="18"/>
  <c r="CR47" i="18"/>
  <c r="CV47" i="18"/>
  <c r="AR48" i="18"/>
  <c r="AT48" i="18"/>
  <c r="AU48" i="18"/>
  <c r="BP48" i="18" s="1"/>
  <c r="AV48" i="18"/>
  <c r="BO48" i="18" s="1"/>
  <c r="BF48" i="18"/>
  <c r="BM48" i="18" s="1"/>
  <c r="BH48" i="18"/>
  <c r="AW48" i="18" s="1"/>
  <c r="BI48" i="18"/>
  <c r="AX48" i="18" s="1"/>
  <c r="BK48" i="18"/>
  <c r="BL48" i="18"/>
  <c r="BQ48" i="18"/>
  <c r="BS48" i="18"/>
  <c r="BT48" i="18"/>
  <c r="BX48" i="18"/>
  <c r="BY48" i="18"/>
  <c r="CA48" i="18"/>
  <c r="CB48" i="18"/>
  <c r="CG48" i="18"/>
  <c r="CH48" i="18"/>
  <c r="CJ48" i="18"/>
  <c r="CK48" i="18"/>
  <c r="CO48" i="18"/>
  <c r="CP48" i="18"/>
  <c r="CR48" i="18"/>
  <c r="CS48" i="18"/>
  <c r="CV48" i="18"/>
  <c r="AR49" i="18"/>
  <c r="AT49" i="18"/>
  <c r="AU49" i="18" s="1"/>
  <c r="BP49" i="18" s="1"/>
  <c r="AV49" i="18"/>
  <c r="BO49" i="18" s="1"/>
  <c r="AW49" i="18"/>
  <c r="BF49" i="18"/>
  <c r="BN49" i="18" s="1"/>
  <c r="BH49" i="18"/>
  <c r="BI49" i="18"/>
  <c r="AX49" i="18" s="1"/>
  <c r="BK49" i="18"/>
  <c r="BL49" i="18"/>
  <c r="BM49" i="18"/>
  <c r="BQ49" i="18"/>
  <c r="BR49" i="18"/>
  <c r="BS49" i="18"/>
  <c r="BT49" i="18"/>
  <c r="BU49" i="18"/>
  <c r="BV49" i="18"/>
  <c r="BW49" i="18"/>
  <c r="BX49" i="18"/>
  <c r="BY49" i="18"/>
  <c r="BZ49" i="18"/>
  <c r="CA49" i="18"/>
  <c r="CB49" i="18"/>
  <c r="CD49" i="18"/>
  <c r="CE49" i="18"/>
  <c r="CF49" i="18"/>
  <c r="CG49" i="18"/>
  <c r="CH49" i="18"/>
  <c r="CI49" i="18"/>
  <c r="CJ49" i="18"/>
  <c r="CK49" i="18"/>
  <c r="CL49" i="18"/>
  <c r="CM49" i="18"/>
  <c r="CN49" i="18"/>
  <c r="CO49" i="18"/>
  <c r="CP49" i="18"/>
  <c r="CQ49" i="18"/>
  <c r="CR49" i="18"/>
  <c r="CS49" i="18"/>
  <c r="CV49" i="18"/>
  <c r="AR50" i="18"/>
  <c r="AT50" i="18"/>
  <c r="AV50" i="18" s="1"/>
  <c r="BO50" i="18" s="1"/>
  <c r="AU50" i="18"/>
  <c r="BP50" i="18" s="1"/>
  <c r="AW50" i="18"/>
  <c r="AX50" i="18"/>
  <c r="BF50" i="18"/>
  <c r="BW50" i="18" s="1"/>
  <c r="BH50" i="18"/>
  <c r="BI50" i="18"/>
  <c r="BK50" i="18"/>
  <c r="BL50" i="18"/>
  <c r="BM50" i="18"/>
  <c r="BN50" i="18"/>
  <c r="BQ50" i="18"/>
  <c r="BR50" i="18"/>
  <c r="BS50" i="18"/>
  <c r="BT50" i="18"/>
  <c r="BU50" i="18"/>
  <c r="BV50" i="18"/>
  <c r="BX50" i="18"/>
  <c r="BY50" i="18"/>
  <c r="BZ50" i="18"/>
  <c r="CA50" i="18"/>
  <c r="CB50" i="18"/>
  <c r="CD50" i="18"/>
  <c r="CE50" i="18"/>
  <c r="CG50" i="18"/>
  <c r="CH50" i="18"/>
  <c r="CI50" i="18"/>
  <c r="CJ50" i="18"/>
  <c r="CK50" i="18"/>
  <c r="CL50" i="18"/>
  <c r="CM50" i="18"/>
  <c r="CO50" i="18"/>
  <c r="CP50" i="18"/>
  <c r="CQ50" i="18"/>
  <c r="CR50" i="18"/>
  <c r="CS50" i="18"/>
  <c r="CV50" i="18"/>
  <c r="AR52" i="18"/>
  <c r="AT52" i="18"/>
  <c r="AU52" i="18"/>
  <c r="BP52" i="18" s="1"/>
  <c r="AV52" i="18"/>
  <c r="AW52" i="18"/>
  <c r="AX52" i="18"/>
  <c r="AY52" i="18"/>
  <c r="BF52" i="18"/>
  <c r="BH52" i="18"/>
  <c r="BI52" i="18"/>
  <c r="BL52" i="18"/>
  <c r="BN52" i="18"/>
  <c r="BO52" i="18"/>
  <c r="BT52" i="18"/>
  <c r="BV52" i="18"/>
  <c r="BW52" i="18"/>
  <c r="CB52" i="18"/>
  <c r="CE52" i="18"/>
  <c r="CF52" i="18"/>
  <c r="CK52" i="18"/>
  <c r="CM52" i="18"/>
  <c r="CN52" i="18"/>
  <c r="CS52" i="18"/>
  <c r="AR53" i="18"/>
  <c r="AT53" i="18"/>
  <c r="AU53" i="18"/>
  <c r="AV53" i="18"/>
  <c r="BF53" i="18"/>
  <c r="BM53" i="18" s="1"/>
  <c r="BH53" i="18"/>
  <c r="BI53" i="18"/>
  <c r="BX53" i="18"/>
  <c r="CM53" i="18"/>
  <c r="CV53" i="18"/>
  <c r="P2" i="17"/>
  <c r="AH2" i="17"/>
  <c r="AQ2" i="17"/>
  <c r="AR2" i="17"/>
  <c r="AY2" i="17" s="1"/>
  <c r="AU2" i="17"/>
  <c r="AV2" i="17"/>
  <c r="BG2" i="17"/>
  <c r="BP2" i="17" s="1"/>
  <c r="CH2" i="17"/>
  <c r="CM2" i="17" s="1"/>
  <c r="CI2" i="17"/>
  <c r="CP2" i="17"/>
  <c r="CQ2" i="17"/>
  <c r="CX2" i="17"/>
  <c r="CY2" i="17"/>
  <c r="P3" i="17"/>
  <c r="AH3" i="17" s="1"/>
  <c r="AQ3" i="17"/>
  <c r="AR3" i="17"/>
  <c r="BA3" i="17" s="1"/>
  <c r="AU3" i="17"/>
  <c r="AV3" i="17"/>
  <c r="AW3" i="17"/>
  <c r="BG3" i="17"/>
  <c r="BH3" i="17"/>
  <c r="BK3" i="17"/>
  <c r="DD3" i="17" s="1"/>
  <c r="BL3" i="17"/>
  <c r="DE3" i="17" s="1"/>
  <c r="BP3" i="17"/>
  <c r="BQ3" i="17"/>
  <c r="BR3" i="17"/>
  <c r="BS3" i="17"/>
  <c r="BT3" i="17"/>
  <c r="DL3" i="17" s="1"/>
  <c r="BY3" i="17"/>
  <c r="BZ3" i="17"/>
  <c r="CA3" i="17"/>
  <c r="CB3" i="17"/>
  <c r="CH3" i="17"/>
  <c r="CO3" i="17" s="1"/>
  <c r="CI3" i="17"/>
  <c r="CJ3" i="17"/>
  <c r="CK3" i="17"/>
  <c r="CQ3" i="17"/>
  <c r="CR3" i="17"/>
  <c r="CS3" i="17"/>
  <c r="CY3" i="17"/>
  <c r="CZ3" i="17"/>
  <c r="DA3" i="17"/>
  <c r="DI3" i="17"/>
  <c r="DJ3" i="17"/>
  <c r="DK3" i="17"/>
  <c r="BW2" i="17" l="1"/>
  <c r="DO2" i="17" s="1"/>
  <c r="BO2" i="17"/>
  <c r="BN2" i="17"/>
  <c r="DG2" i="17" s="1"/>
  <c r="CC2" i="17"/>
  <c r="DQ2" i="17" s="1"/>
  <c r="BU2" i="17"/>
  <c r="DM2" i="17" s="1"/>
  <c r="BM2" i="17"/>
  <c r="DF2" i="17" s="1"/>
  <c r="BZ2" i="17"/>
  <c r="BR2" i="17"/>
  <c r="DJ2" i="17" s="1"/>
  <c r="BY2" i="17"/>
  <c r="BQ2" i="17"/>
  <c r="DI2" i="17" s="1"/>
  <c r="BV2" i="17"/>
  <c r="DN2" i="17" s="1"/>
  <c r="CB2" i="17"/>
  <c r="BT2" i="17"/>
  <c r="DL2" i="17" s="1"/>
  <c r="BL2" i="17"/>
  <c r="DE2" i="17" s="1"/>
  <c r="CA2" i="17"/>
  <c r="BS2" i="17"/>
  <c r="DK2" i="17" s="1"/>
  <c r="BK2" i="17"/>
  <c r="DD2" i="17" s="1"/>
  <c r="BX2" i="17"/>
  <c r="DP2" i="17" s="1"/>
  <c r="CL53" i="18"/>
  <c r="CY38" i="18"/>
  <c r="BW53" i="18"/>
  <c r="CK53" i="18"/>
  <c r="BU53" i="18"/>
  <c r="AW53" i="18"/>
  <c r="CY50" i="18"/>
  <c r="CY49" i="18"/>
  <c r="AY49" i="18"/>
  <c r="CM45" i="18"/>
  <c r="BP45" i="18"/>
  <c r="CY41" i="18"/>
  <c r="BR40" i="18"/>
  <c r="BZ40" i="18"/>
  <c r="CI40" i="18"/>
  <c r="BS40" i="18"/>
  <c r="CB40" i="18"/>
  <c r="CL40" i="18"/>
  <c r="BK40" i="18"/>
  <c r="BT40" i="18"/>
  <c r="CD40" i="18"/>
  <c r="CM40" i="18"/>
  <c r="BL40" i="18"/>
  <c r="BU40" i="18"/>
  <c r="CE40" i="18"/>
  <c r="CN40" i="18"/>
  <c r="BM40" i="18"/>
  <c r="BV40" i="18"/>
  <c r="CF40" i="18"/>
  <c r="CO40" i="18"/>
  <c r="AX40" i="18"/>
  <c r="AY40" i="18" s="1"/>
  <c r="BN40" i="18"/>
  <c r="BW40" i="18"/>
  <c r="CG40" i="18"/>
  <c r="CP40" i="18"/>
  <c r="BO40" i="18"/>
  <c r="BX40" i="18"/>
  <c r="CH40" i="18"/>
  <c r="CQ40" i="18"/>
  <c r="AU38" i="18"/>
  <c r="BP38" i="18" s="1"/>
  <c r="AV38" i="18"/>
  <c r="BO38" i="18" s="1"/>
  <c r="CX38" i="18" s="1"/>
  <c r="CG53" i="18"/>
  <c r="AY50" i="18"/>
  <c r="BN45" i="18"/>
  <c r="AY41" i="18"/>
  <c r="AY48" i="18"/>
  <c r="CF53" i="18"/>
  <c r="BX52" i="18"/>
  <c r="CG52" i="18"/>
  <c r="CO52" i="18"/>
  <c r="BK52" i="18"/>
  <c r="CA52" i="18"/>
  <c r="BQ52" i="18"/>
  <c r="BY52" i="18"/>
  <c r="CH52" i="18"/>
  <c r="CP52" i="18"/>
  <c r="BR52" i="18"/>
  <c r="CJ52" i="18"/>
  <c r="BZ52" i="18"/>
  <c r="CI52" i="18"/>
  <c r="CQ52" i="18"/>
  <c r="BS52" i="18"/>
  <c r="CR52" i="18"/>
  <c r="BM52" i="18"/>
  <c r="BU52" i="18"/>
  <c r="CD52" i="18"/>
  <c r="CL52" i="18"/>
  <c r="CI47" i="18"/>
  <c r="AU46" i="18"/>
  <c r="BP46" i="18" s="1"/>
  <c r="AV46" i="18"/>
  <c r="BO46" i="18" s="1"/>
  <c r="BQ44" i="18"/>
  <c r="BY44" i="18"/>
  <c r="CH44" i="18"/>
  <c r="CP44" i="18"/>
  <c r="BR44" i="18"/>
  <c r="BZ44" i="18"/>
  <c r="CI44" i="18"/>
  <c r="CQ44" i="18"/>
  <c r="BK44" i="18"/>
  <c r="BS44" i="18"/>
  <c r="CA44" i="18"/>
  <c r="CJ44" i="18"/>
  <c r="CR44" i="18"/>
  <c r="BL44" i="18"/>
  <c r="BT44" i="18"/>
  <c r="CB44" i="18"/>
  <c r="CK44" i="18"/>
  <c r="CS44" i="18"/>
  <c r="AX44" i="18"/>
  <c r="AY44" i="18" s="1"/>
  <c r="BN44" i="18"/>
  <c r="BV44" i="18"/>
  <c r="CE44" i="18"/>
  <c r="CM44" i="18"/>
  <c r="CA40" i="18"/>
  <c r="AU26" i="18"/>
  <c r="BP26" i="18" s="1"/>
  <c r="AV26" i="18"/>
  <c r="BO26" i="18" s="1"/>
  <c r="BY40" i="18"/>
  <c r="AY35" i="18"/>
  <c r="BQ53" i="18"/>
  <c r="BY53" i="18"/>
  <c r="CH53" i="18"/>
  <c r="CP53" i="18"/>
  <c r="BL53" i="18"/>
  <c r="BR53" i="18"/>
  <c r="BZ53" i="18"/>
  <c r="CI53" i="18"/>
  <c r="CQ53" i="18"/>
  <c r="BS53" i="18"/>
  <c r="CJ53" i="18"/>
  <c r="CR53" i="18"/>
  <c r="BT53" i="18"/>
  <c r="BK53" i="18"/>
  <c r="CA53" i="18"/>
  <c r="AX53" i="18"/>
  <c r="BN53" i="18"/>
  <c r="BV53" i="18"/>
  <c r="CE53" i="18"/>
  <c r="CO53" i="18"/>
  <c r="CD53" i="18"/>
  <c r="CX49" i="18"/>
  <c r="AY47" i="18"/>
  <c r="BR45" i="18"/>
  <c r="BZ45" i="18"/>
  <c r="CI45" i="18"/>
  <c r="CQ45" i="18"/>
  <c r="BK45" i="18"/>
  <c r="BS45" i="18"/>
  <c r="CA45" i="18"/>
  <c r="CJ45" i="18"/>
  <c r="CR45" i="18"/>
  <c r="BL45" i="18"/>
  <c r="BT45" i="18"/>
  <c r="CB45" i="18"/>
  <c r="CK45" i="18"/>
  <c r="CS45" i="18"/>
  <c r="BM45" i="18"/>
  <c r="BU45" i="18"/>
  <c r="CD45" i="18"/>
  <c r="CL45" i="18"/>
  <c r="BO45" i="18"/>
  <c r="BW45" i="18"/>
  <c r="CF45" i="18"/>
  <c r="CN45" i="18"/>
  <c r="AY34" i="18"/>
  <c r="CS53" i="18"/>
  <c r="CN53" i="18"/>
  <c r="CB53" i="18"/>
  <c r="BP53" i="18" s="1"/>
  <c r="CY47" i="18"/>
  <c r="BL47" i="18"/>
  <c r="CX47" i="18" s="1"/>
  <c r="BT47" i="18"/>
  <c r="CB47" i="18"/>
  <c r="CK47" i="18"/>
  <c r="CS47" i="18"/>
  <c r="BM47" i="18"/>
  <c r="BU47" i="18"/>
  <c r="CD47" i="18"/>
  <c r="CL47" i="18"/>
  <c r="CN47" i="18"/>
  <c r="BN47" i="18"/>
  <c r="BV47" i="18"/>
  <c r="CE47" i="18"/>
  <c r="CM47" i="18"/>
  <c r="CF47" i="18"/>
  <c r="BW47" i="18"/>
  <c r="BQ47" i="18"/>
  <c r="BY47" i="18"/>
  <c r="CH47" i="18"/>
  <c r="CP47" i="18"/>
  <c r="AX45" i="18"/>
  <c r="AY45" i="18" s="1"/>
  <c r="CX41" i="18"/>
  <c r="BP40" i="18"/>
  <c r="CX29" i="18"/>
  <c r="AV8" i="18"/>
  <c r="BO8" i="18" s="1"/>
  <c r="AU8" i="18"/>
  <c r="BP8" i="18" s="1"/>
  <c r="CQ48" i="18"/>
  <c r="CI48" i="18"/>
  <c r="BZ48" i="18"/>
  <c r="CY48" i="18" s="1"/>
  <c r="BR48" i="18"/>
  <c r="CL39" i="18"/>
  <c r="CB39" i="18"/>
  <c r="CL37" i="18"/>
  <c r="CB37" i="18"/>
  <c r="BL35" i="18"/>
  <c r="BT35" i="18"/>
  <c r="CB35" i="18"/>
  <c r="CK35" i="18"/>
  <c r="CS35" i="18"/>
  <c r="BM35" i="18"/>
  <c r="BU35" i="18"/>
  <c r="CD35" i="18"/>
  <c r="BN35" i="18"/>
  <c r="BV35" i="18"/>
  <c r="CE35" i="18"/>
  <c r="CM35" i="18"/>
  <c r="BW35" i="18"/>
  <c r="CF35" i="18"/>
  <c r="CN35" i="18"/>
  <c r="BK34" i="18"/>
  <c r="BS34" i="18"/>
  <c r="CA34" i="18"/>
  <c r="CY34" i="18" s="1"/>
  <c r="CJ34" i="18"/>
  <c r="CR34" i="18"/>
  <c r="BL34" i="18"/>
  <c r="BT34" i="18"/>
  <c r="CB34" i="18"/>
  <c r="CK34" i="18"/>
  <c r="CS34" i="18"/>
  <c r="BM34" i="18"/>
  <c r="BU34" i="18"/>
  <c r="CD34" i="18"/>
  <c r="CL34" i="18"/>
  <c r="BN34" i="18"/>
  <c r="BV34" i="18"/>
  <c r="CE34" i="18"/>
  <c r="CM34" i="18"/>
  <c r="CO33" i="18"/>
  <c r="AW33" i="18"/>
  <c r="BQ32" i="18"/>
  <c r="BY32" i="18"/>
  <c r="CH32" i="18"/>
  <c r="CP32" i="18"/>
  <c r="BR32" i="18"/>
  <c r="BZ32" i="18"/>
  <c r="CI32" i="18"/>
  <c r="CQ32" i="18"/>
  <c r="BK32" i="18"/>
  <c r="BS32" i="18"/>
  <c r="CA32" i="18"/>
  <c r="CJ32" i="18"/>
  <c r="CR32" i="18"/>
  <c r="BL32" i="18"/>
  <c r="BT32" i="18"/>
  <c r="CB32" i="18"/>
  <c r="CK32" i="18"/>
  <c r="CS32" i="18"/>
  <c r="AW32" i="18"/>
  <c r="AY32" i="18" s="1"/>
  <c r="BM32" i="18"/>
  <c r="BU32" i="18"/>
  <c r="CD32" i="18"/>
  <c r="CX28" i="18"/>
  <c r="AY20" i="18"/>
  <c r="BR33" i="18"/>
  <c r="BZ33" i="18"/>
  <c r="CI33" i="18"/>
  <c r="CQ33" i="18"/>
  <c r="BK33" i="18"/>
  <c r="BS33" i="18"/>
  <c r="CA33" i="18"/>
  <c r="CJ33" i="18"/>
  <c r="CR33" i="18"/>
  <c r="BL33" i="18"/>
  <c r="BT33" i="18"/>
  <c r="CB33" i="18"/>
  <c r="CK33" i="18"/>
  <c r="CS33" i="18"/>
  <c r="BM33" i="18"/>
  <c r="BU33" i="18"/>
  <c r="CD33" i="18"/>
  <c r="CL33" i="18"/>
  <c r="BQ39" i="18"/>
  <c r="BY39" i="18"/>
  <c r="CH39" i="18"/>
  <c r="CP39" i="18"/>
  <c r="BW37" i="18"/>
  <c r="CF37" i="18"/>
  <c r="CN37" i="18"/>
  <c r="AU34" i="18"/>
  <c r="BP34" i="18" s="1"/>
  <c r="AV34" i="18"/>
  <c r="BO34" i="18" s="1"/>
  <c r="CM33" i="18"/>
  <c r="BV33" i="18"/>
  <c r="AY30" i="18"/>
  <c r="CY29" i="18"/>
  <c r="AY28" i="18"/>
  <c r="AY27" i="18"/>
  <c r="BM15" i="18"/>
  <c r="BU15" i="18"/>
  <c r="CD15" i="18"/>
  <c r="CL15" i="18"/>
  <c r="AX15" i="18"/>
  <c r="AY15" i="18" s="1"/>
  <c r="BN15" i="18"/>
  <c r="BV15" i="18"/>
  <c r="CE15" i="18"/>
  <c r="CM15" i="18"/>
  <c r="BO15" i="18"/>
  <c r="BW15" i="18"/>
  <c r="CF15" i="18"/>
  <c r="CN15" i="18"/>
  <c r="BR15" i="18"/>
  <c r="BZ15" i="18"/>
  <c r="CI15" i="18"/>
  <c r="CQ15" i="18"/>
  <c r="BK15" i="18"/>
  <c r="BS15" i="18"/>
  <c r="CA15" i="18"/>
  <c r="CJ15" i="18"/>
  <c r="CR15" i="18"/>
  <c r="BL15" i="18"/>
  <c r="BT15" i="18"/>
  <c r="CB15" i="18"/>
  <c r="CK15" i="18"/>
  <c r="CS15" i="18"/>
  <c r="CP15" i="18"/>
  <c r="BP15" i="18"/>
  <c r="BQ15" i="18"/>
  <c r="BX15" i="18"/>
  <c r="BY15" i="18"/>
  <c r="CG15" i="18"/>
  <c r="CN48" i="18"/>
  <c r="CF48" i="18"/>
  <c r="BW48" i="18"/>
  <c r="CL46" i="18"/>
  <c r="CD46" i="18"/>
  <c r="BU46" i="18"/>
  <c r="BM46" i="18"/>
  <c r="CR39" i="18"/>
  <c r="CI39" i="18"/>
  <c r="BX39" i="18"/>
  <c r="CR37" i="18"/>
  <c r="CI37" i="18"/>
  <c r="BY37" i="18"/>
  <c r="CY37" i="18" s="1"/>
  <c r="CH35" i="18"/>
  <c r="BQ35" i="18"/>
  <c r="CH34" i="18"/>
  <c r="BQ34" i="18"/>
  <c r="CH33" i="18"/>
  <c r="BQ33" i="18"/>
  <c r="AX33" i="18"/>
  <c r="CM32" i="18"/>
  <c r="BP32" i="18"/>
  <c r="AY29" i="18"/>
  <c r="CY28" i="18"/>
  <c r="BR25" i="18"/>
  <c r="BZ25" i="18"/>
  <c r="CY25" i="18" s="1"/>
  <c r="CI25" i="18"/>
  <c r="CQ25" i="18"/>
  <c r="BS25" i="18"/>
  <c r="CA25" i="18"/>
  <c r="CJ25" i="18"/>
  <c r="CR25" i="18"/>
  <c r="BK25" i="18"/>
  <c r="BT25" i="18"/>
  <c r="CB25" i="18"/>
  <c r="CK25" i="18"/>
  <c r="CS25" i="18"/>
  <c r="BL25" i="18"/>
  <c r="BU25" i="18"/>
  <c r="CD25" i="18"/>
  <c r="CL25" i="18"/>
  <c r="BM25" i="18"/>
  <c r="BV25" i="18"/>
  <c r="CE25" i="18"/>
  <c r="CM25" i="18"/>
  <c r="AW25" i="18"/>
  <c r="AY25" i="18" s="1"/>
  <c r="BN25" i="18"/>
  <c r="BW25" i="18"/>
  <c r="CF25" i="18"/>
  <c r="CN25" i="18"/>
  <c r="CM48" i="18"/>
  <c r="CE48" i="18"/>
  <c r="BV48" i="18"/>
  <c r="BN48" i="18"/>
  <c r="CX48" i="18" s="1"/>
  <c r="CS46" i="18"/>
  <c r="CK46" i="18"/>
  <c r="CB46" i="18"/>
  <c r="BT46" i="18"/>
  <c r="BL46" i="18"/>
  <c r="CX46" i="18" s="1"/>
  <c r="CQ39" i="18"/>
  <c r="CG39" i="18"/>
  <c r="BW39" i="18"/>
  <c r="BN39" i="18"/>
  <c r="CQ37" i="18"/>
  <c r="CH37" i="18"/>
  <c r="BX37" i="18"/>
  <c r="BN37" i="18"/>
  <c r="CR35" i="18"/>
  <c r="CG35" i="18"/>
  <c r="CG34" i="18"/>
  <c r="CG33" i="18"/>
  <c r="BP33" i="18"/>
  <c r="CL32" i="18"/>
  <c r="CN50" i="18"/>
  <c r="CF50" i="18"/>
  <c r="CX50" i="18" s="1"/>
  <c r="CL48" i="18"/>
  <c r="CD48" i="18"/>
  <c r="BU48" i="18"/>
  <c r="CR46" i="18"/>
  <c r="CJ46" i="18"/>
  <c r="CA46" i="18"/>
  <c r="CY46" i="18" s="1"/>
  <c r="BS46" i="18"/>
  <c r="CN42" i="18"/>
  <c r="CF42" i="18"/>
  <c r="CX42" i="18" s="1"/>
  <c r="CO39" i="18"/>
  <c r="CF39" i="18"/>
  <c r="BV39" i="18"/>
  <c r="BM39" i="18"/>
  <c r="CX39" i="18" s="1"/>
  <c r="AW39" i="18"/>
  <c r="AY39" i="18" s="1"/>
  <c r="CP37" i="18"/>
  <c r="CG37" i="18"/>
  <c r="BV37" i="18"/>
  <c r="BM37" i="18"/>
  <c r="CX37" i="18" s="1"/>
  <c r="CY36" i="18"/>
  <c r="CQ35" i="18"/>
  <c r="CA35" i="18"/>
  <c r="CY35" i="18" s="1"/>
  <c r="BK35" i="18"/>
  <c r="CF34" i="18"/>
  <c r="CF33" i="18"/>
  <c r="CG32" i="18"/>
  <c r="BN32" i="18"/>
  <c r="CY24" i="18"/>
  <c r="AU7" i="18"/>
  <c r="BP7" i="18" s="1"/>
  <c r="AV7" i="18"/>
  <c r="BO7" i="18" s="1"/>
  <c r="AY16" i="18"/>
  <c r="BL14" i="18"/>
  <c r="BT14" i="18"/>
  <c r="CB14" i="18"/>
  <c r="CK14" i="18"/>
  <c r="CS14" i="18"/>
  <c r="AW14" i="18"/>
  <c r="BM14" i="18"/>
  <c r="BU14" i="18"/>
  <c r="CD14" i="18"/>
  <c r="CL14" i="18"/>
  <c r="AX14" i="18"/>
  <c r="BN14" i="18"/>
  <c r="BV14" i="18"/>
  <c r="CE14" i="18"/>
  <c r="CM14" i="18"/>
  <c r="BQ14" i="18"/>
  <c r="BY14" i="18"/>
  <c r="CH14" i="18"/>
  <c r="CP14" i="18"/>
  <c r="BR14" i="18"/>
  <c r="BZ14" i="18"/>
  <c r="CI14" i="18"/>
  <c r="CQ14" i="18"/>
  <c r="BK14" i="18"/>
  <c r="BS14" i="18"/>
  <c r="CA14" i="18"/>
  <c r="CJ14" i="18"/>
  <c r="CR14" i="18"/>
  <c r="AY11" i="18"/>
  <c r="CN26" i="18"/>
  <c r="CF26" i="18"/>
  <c r="BW26" i="18"/>
  <c r="BO25" i="18"/>
  <c r="CF14" i="18"/>
  <c r="CX8" i="18"/>
  <c r="AV32" i="18"/>
  <c r="BO32" i="18" s="1"/>
  <c r="CN27" i="18"/>
  <c r="CF27" i="18"/>
  <c r="BW27" i="18"/>
  <c r="CM26" i="18"/>
  <c r="CE26" i="18"/>
  <c r="BV26" i="18"/>
  <c r="BN26" i="18"/>
  <c r="CP24" i="18"/>
  <c r="CG24" i="18"/>
  <c r="BW24" i="18"/>
  <c r="BL24" i="18"/>
  <c r="CN23" i="18"/>
  <c r="CA23" i="18"/>
  <c r="BK23" i="18"/>
  <c r="CF22" i="18"/>
  <c r="AU16" i="18"/>
  <c r="BP16" i="18" s="1"/>
  <c r="AV16" i="18"/>
  <c r="BO16" i="18" s="1"/>
  <c r="BX14" i="18"/>
  <c r="CY11" i="18"/>
  <c r="CN36" i="18"/>
  <c r="CF36" i="18"/>
  <c r="CX36" i="18" s="1"/>
  <c r="AV33" i="18"/>
  <c r="BO33" i="18" s="1"/>
  <c r="CQ31" i="18"/>
  <c r="CI31" i="18"/>
  <c r="CX31" i="18" s="1"/>
  <c r="BZ31" i="18"/>
  <c r="CY31" i="18" s="1"/>
  <c r="CP30" i="18"/>
  <c r="CH30" i="18"/>
  <c r="CX30" i="18" s="1"/>
  <c r="BY30" i="18"/>
  <c r="CY30" i="18" s="1"/>
  <c r="CM27" i="18"/>
  <c r="CE27" i="18"/>
  <c r="BV27" i="18"/>
  <c r="BN27" i="18"/>
  <c r="CL26" i="18"/>
  <c r="CD26" i="18"/>
  <c r="BU26" i="18"/>
  <c r="BM26" i="18"/>
  <c r="CO24" i="18"/>
  <c r="CF24" i="18"/>
  <c r="AX24" i="18"/>
  <c r="AY24" i="18" s="1"/>
  <c r="CM23" i="18"/>
  <c r="BY23" i="18"/>
  <c r="AX23" i="18"/>
  <c r="AW22" i="18"/>
  <c r="AY22" i="18" s="1"/>
  <c r="AY18" i="18"/>
  <c r="BW14" i="18"/>
  <c r="AY8" i="18"/>
  <c r="CL27" i="18"/>
  <c r="CD27" i="18"/>
  <c r="BU27" i="18"/>
  <c r="BM27" i="18"/>
  <c r="CX27" i="18" s="1"/>
  <c r="CS26" i="18"/>
  <c r="CK26" i="18"/>
  <c r="CB26" i="18"/>
  <c r="BT26" i="18"/>
  <c r="BL26" i="18"/>
  <c r="CK23" i="18"/>
  <c r="AW23" i="18"/>
  <c r="BL22" i="18"/>
  <c r="BT22" i="18"/>
  <c r="CB22" i="18"/>
  <c r="CK22" i="18"/>
  <c r="CS22" i="18"/>
  <c r="BM22" i="18"/>
  <c r="BU22" i="18"/>
  <c r="CD22" i="18"/>
  <c r="CL22" i="18"/>
  <c r="BQ22" i="18"/>
  <c r="BY22" i="18"/>
  <c r="CH22" i="18"/>
  <c r="CP22" i="18"/>
  <c r="BR22" i="18"/>
  <c r="BZ22" i="18"/>
  <c r="CI22" i="18"/>
  <c r="CQ22" i="18"/>
  <c r="BK22" i="18"/>
  <c r="CX22" i="18" s="1"/>
  <c r="BS22" i="18"/>
  <c r="CA22" i="18"/>
  <c r="CJ22" i="18"/>
  <c r="CR22" i="18"/>
  <c r="AY12" i="18"/>
  <c r="CY8" i="18"/>
  <c r="BM6" i="18"/>
  <c r="BU6" i="18"/>
  <c r="CD6" i="18"/>
  <c r="CL6" i="18"/>
  <c r="BN6" i="18"/>
  <c r="BV6" i="18"/>
  <c r="CE6" i="18"/>
  <c r="CM6" i="18"/>
  <c r="BO6" i="18"/>
  <c r="BW6" i="18"/>
  <c r="CF6" i="18"/>
  <c r="CN6" i="18"/>
  <c r="BR6" i="18"/>
  <c r="BZ6" i="18"/>
  <c r="CI6" i="18"/>
  <c r="CQ6" i="18"/>
  <c r="BK6" i="18"/>
  <c r="BS6" i="18"/>
  <c r="CA6" i="18"/>
  <c r="CJ6" i="18"/>
  <c r="CR6" i="18"/>
  <c r="BL6" i="18"/>
  <c r="BT6" i="18"/>
  <c r="CB6" i="18"/>
  <c r="CK6" i="18"/>
  <c r="CS6" i="18"/>
  <c r="AY4" i="18"/>
  <c r="CS27" i="18"/>
  <c r="CK27" i="18"/>
  <c r="CB27" i="18"/>
  <c r="CY27" i="18" s="1"/>
  <c r="BT27" i="18"/>
  <c r="CR26" i="18"/>
  <c r="CJ26" i="18"/>
  <c r="CA26" i="18"/>
  <c r="CY26" i="18" s="1"/>
  <c r="BS26" i="18"/>
  <c r="CX26" i="18" s="1"/>
  <c r="BN24" i="18"/>
  <c r="BV24" i="18"/>
  <c r="CE24" i="18"/>
  <c r="CM24" i="18"/>
  <c r="BK24" i="18"/>
  <c r="CX24" i="18" s="1"/>
  <c r="BS24" i="18"/>
  <c r="BM23" i="18"/>
  <c r="BU23" i="18"/>
  <c r="CD23" i="18"/>
  <c r="CL23" i="18"/>
  <c r="BN23" i="18"/>
  <c r="BV23" i="18"/>
  <c r="CE23" i="18"/>
  <c r="BR23" i="18"/>
  <c r="BZ23" i="18"/>
  <c r="CY23" i="18" s="1"/>
  <c r="CI23" i="18"/>
  <c r="CQ23" i="18"/>
  <c r="BL23" i="18"/>
  <c r="BT23" i="18"/>
  <c r="BO14" i="18"/>
  <c r="AU22" i="18"/>
  <c r="BP22" i="18" s="1"/>
  <c r="CM17" i="18"/>
  <c r="CE17" i="18"/>
  <c r="BV17" i="18"/>
  <c r="BN17" i="18"/>
  <c r="CL16" i="18"/>
  <c r="CD16" i="18"/>
  <c r="BU16" i="18"/>
  <c r="BM16" i="18"/>
  <c r="AU14" i="18"/>
  <c r="BP14" i="18" s="1"/>
  <c r="CL7" i="18"/>
  <c r="CD7" i="18"/>
  <c r="BU7" i="18"/>
  <c r="BM7" i="18"/>
  <c r="CR5" i="18"/>
  <c r="CJ5" i="18"/>
  <c r="CA5" i="18"/>
  <c r="BS5" i="18"/>
  <c r="BK5" i="18"/>
  <c r="CO2" i="18"/>
  <c r="CG2" i="18"/>
  <c r="BX2" i="18"/>
  <c r="BM17" i="18"/>
  <c r="CS16" i="18"/>
  <c r="CK16" i="18"/>
  <c r="CB16" i="18"/>
  <c r="BT16" i="18"/>
  <c r="BL16" i="18"/>
  <c r="BW11" i="18"/>
  <c r="CS7" i="18"/>
  <c r="CK7" i="18"/>
  <c r="CB7" i="18"/>
  <c r="BT7" i="18"/>
  <c r="BL7" i="18"/>
  <c r="CQ5" i="18"/>
  <c r="CI5" i="18"/>
  <c r="BZ5" i="18"/>
  <c r="BR5" i="18"/>
  <c r="CN2" i="18"/>
  <c r="CF2" i="18"/>
  <c r="BW2" i="18"/>
  <c r="BO2" i="18"/>
  <c r="CN20" i="18"/>
  <c r="CF20" i="18"/>
  <c r="BW20" i="18"/>
  <c r="CX20" i="18" s="1"/>
  <c r="BV19" i="18"/>
  <c r="CX19" i="18" s="1"/>
  <c r="BU18" i="18"/>
  <c r="CX18" i="18" s="1"/>
  <c r="CS17" i="18"/>
  <c r="CK17" i="18"/>
  <c r="CB17" i="18"/>
  <c r="CY17" i="18" s="1"/>
  <c r="BT17" i="18"/>
  <c r="BL17" i="18"/>
  <c r="CX17" i="18" s="1"/>
  <c r="CR16" i="18"/>
  <c r="CJ16" i="18"/>
  <c r="CA16" i="18"/>
  <c r="CY16" i="18" s="1"/>
  <c r="BS16" i="18"/>
  <c r="BK16" i="18"/>
  <c r="CN12" i="18"/>
  <c r="CF12" i="18"/>
  <c r="CX12" i="18" s="1"/>
  <c r="CM11" i="18"/>
  <c r="CE11" i="18"/>
  <c r="BV11" i="18"/>
  <c r="CX11" i="18" s="1"/>
  <c r="CL9" i="18"/>
  <c r="CD9" i="18"/>
  <c r="BU9" i="18"/>
  <c r="CX9" i="18" s="1"/>
  <c r="CR7" i="18"/>
  <c r="CJ7" i="18"/>
  <c r="CA7" i="18"/>
  <c r="CY7" i="18" s="1"/>
  <c r="BS7" i="18"/>
  <c r="BK7" i="18"/>
  <c r="CP5" i="18"/>
  <c r="CH5" i="18"/>
  <c r="BY5" i="18"/>
  <c r="BQ5" i="18"/>
  <c r="BV2" i="18"/>
  <c r="BN2" i="18"/>
  <c r="CM5" i="18"/>
  <c r="CE5" i="18"/>
  <c r="BV5" i="18"/>
  <c r="BN5" i="18"/>
  <c r="CL4" i="18"/>
  <c r="CD4" i="18"/>
  <c r="BU4" i="18"/>
  <c r="BM4" i="18"/>
  <c r="AV3" i="18"/>
  <c r="BO3" i="18" s="1"/>
  <c r="CX3" i="18" s="1"/>
  <c r="CR2" i="18"/>
  <c r="CJ2" i="18"/>
  <c r="CA2" i="18"/>
  <c r="BS2" i="18"/>
  <c r="BK2" i="18"/>
  <c r="AV21" i="18"/>
  <c r="BO21" i="18" s="1"/>
  <c r="CX21" i="18" s="1"/>
  <c r="CN16" i="18"/>
  <c r="CF16" i="18"/>
  <c r="BW16" i="18"/>
  <c r="CN7" i="18"/>
  <c r="CF7" i="18"/>
  <c r="BW7" i="18"/>
  <c r="CL5" i="18"/>
  <c r="CD5" i="18"/>
  <c r="BU5" i="18"/>
  <c r="BM5" i="18"/>
  <c r="CS4" i="18"/>
  <c r="CK4" i="18"/>
  <c r="CB4" i="18"/>
  <c r="CY4" i="18" s="1"/>
  <c r="BT4" i="18"/>
  <c r="AV4" i="18"/>
  <c r="BO4" i="18" s="1"/>
  <c r="CX4" i="18" s="1"/>
  <c r="CQ2" i="18"/>
  <c r="CI2" i="18"/>
  <c r="BZ2" i="18"/>
  <c r="CN17" i="18"/>
  <c r="CF17" i="18"/>
  <c r="CM16" i="18"/>
  <c r="CE16" i="18"/>
  <c r="BV16" i="18"/>
  <c r="CM7" i="18"/>
  <c r="CE7" i="18"/>
  <c r="BV7" i="18"/>
  <c r="CS5" i="18"/>
  <c r="CK5" i="18"/>
  <c r="CB5" i="18"/>
  <c r="BT5" i="18"/>
  <c r="CV3" i="17"/>
  <c r="CN3" i="17"/>
  <c r="BW3" i="17"/>
  <c r="DO3" i="17" s="1"/>
  <c r="BO3" i="17"/>
  <c r="DH3" i="17" s="1"/>
  <c r="AZ3" i="17"/>
  <c r="CT2" i="17"/>
  <c r="CL2" i="17"/>
  <c r="AX2" i="17"/>
  <c r="CO2" i="17"/>
  <c r="CX3" i="17"/>
  <c r="CN2" i="17"/>
  <c r="CU3" i="17"/>
  <c r="CM3" i="17"/>
  <c r="CD3" i="17"/>
  <c r="DR3" i="17" s="1"/>
  <c r="BV3" i="17"/>
  <c r="DN3" i="17" s="1"/>
  <c r="BN3" i="17"/>
  <c r="DG3" i="17" s="1"/>
  <c r="AY3" i="17"/>
  <c r="DA2" i="17"/>
  <c r="CS2" i="17"/>
  <c r="CK2" i="17"/>
  <c r="AW2" i="17"/>
  <c r="CP3" i="17"/>
  <c r="CV2" i="17"/>
  <c r="CT3" i="17"/>
  <c r="CL3" i="17"/>
  <c r="CC3" i="17"/>
  <c r="BU3" i="17"/>
  <c r="DM3" i="17" s="1"/>
  <c r="BM3" i="17"/>
  <c r="DF3" i="17" s="1"/>
  <c r="AX3" i="17"/>
  <c r="CZ2" i="17"/>
  <c r="CR2" i="17"/>
  <c r="CJ2" i="17"/>
  <c r="BA2" i="17"/>
  <c r="AZ2" i="17"/>
  <c r="CW2" i="17"/>
  <c r="CW3" i="17"/>
  <c r="BX3" i="17"/>
  <c r="DP3" i="17" s="1"/>
  <c r="CU2" i="17"/>
  <c r="CD2" i="17" l="1"/>
  <c r="CE2" i="17"/>
  <c r="BH2" i="17" s="1"/>
  <c r="DH2" i="17"/>
  <c r="CY15" i="18"/>
  <c r="CX33" i="18"/>
  <c r="CY32" i="18"/>
  <c r="CY45" i="18"/>
  <c r="CX44" i="18"/>
  <c r="CY6" i="18"/>
  <c r="AY23" i="18"/>
  <c r="CX34" i="18"/>
  <c r="CX7" i="18"/>
  <c r="CY2" i="18"/>
  <c r="CY5" i="18"/>
  <c r="CY22" i="18"/>
  <c r="CX14" i="18"/>
  <c r="CY53" i="18"/>
  <c r="CY40" i="18"/>
  <c r="CX5" i="18"/>
  <c r="CY33" i="18"/>
  <c r="CY39" i="18"/>
  <c r="BO53" i="18"/>
  <c r="CX53" i="18"/>
  <c r="CY44" i="18"/>
  <c r="AY53" i="18"/>
  <c r="CV2" i="18"/>
  <c r="CX2" i="18"/>
  <c r="AY14" i="18"/>
  <c r="CX35" i="18"/>
  <c r="CY52" i="18"/>
  <c r="CV52" i="18"/>
  <c r="CX52" i="18"/>
  <c r="CX16" i="18"/>
  <c r="CY14" i="18"/>
  <c r="CX25" i="18"/>
  <c r="CX15" i="18"/>
  <c r="CX32" i="18"/>
  <c r="CX45" i="18"/>
  <c r="CX40" i="18"/>
  <c r="CX6" i="18"/>
  <c r="CX23" i="18"/>
  <c r="AY33" i="18"/>
  <c r="DQ3" i="17"/>
  <c r="CE3" i="17"/>
  <c r="DR2" i="17"/>
  <c r="CF2" i="17"/>
  <c r="CF3" i="17"/>
  <c r="AQ3" i="1" l="1"/>
  <c r="AR3" i="1"/>
  <c r="BG3" i="1" s="1"/>
  <c r="AT3" i="1"/>
  <c r="AU3" i="1"/>
  <c r="AQ4" i="1"/>
  <c r="AT4" i="1"/>
  <c r="AU4" i="1"/>
  <c r="AU2" i="1"/>
  <c r="AT2" i="1"/>
  <c r="AR2" i="1"/>
  <c r="BD2" i="1" s="1"/>
  <c r="AQ2" i="1"/>
  <c r="BF3" i="1" l="1"/>
  <c r="BE3" i="1"/>
  <c r="BD3" i="1"/>
  <c r="BC3" i="1"/>
  <c r="BN3" i="1"/>
  <c r="BM3" i="1"/>
  <c r="BL3" i="1"/>
  <c r="AZ3" i="1"/>
  <c r="BK3" i="1"/>
  <c r="AY3" i="1"/>
  <c r="BJ3" i="1"/>
  <c r="AX3" i="1"/>
  <c r="BI3" i="1"/>
  <c r="AW3" i="1"/>
  <c r="BH3" i="1"/>
  <c r="BE2" i="1"/>
  <c r="BF2" i="1"/>
  <c r="BG2" i="1"/>
  <c r="BH2" i="1"/>
  <c r="AW2" i="1"/>
  <c r="BI2" i="1"/>
  <c r="AX2" i="1"/>
  <c r="BJ2" i="1"/>
  <c r="AY2" i="1"/>
  <c r="BK2" i="1"/>
  <c r="AZ2" i="1"/>
  <c r="BL2" i="1"/>
  <c r="BM2" i="1"/>
  <c r="BN2" i="1"/>
  <c r="BC2" i="1"/>
  <c r="BB3" i="1" l="1"/>
  <c r="BA3" i="1" s="1"/>
  <c r="BP3" i="1"/>
  <c r="BQ3" i="1"/>
  <c r="AF3" i="1"/>
  <c r="BB2" i="1"/>
  <c r="AG3" i="1" l="1"/>
  <c r="AH3" i="1"/>
  <c r="BA2" i="1"/>
  <c r="AI3" i="1" l="1"/>
  <c r="BQ2" i="1"/>
  <c r="BP2" i="1"/>
  <c r="AF2" i="1"/>
  <c r="AH2" i="1" l="1"/>
  <c r="AG2" i="1"/>
  <c r="AI2" i="1" s="1"/>
  <c r="BA8" i="15" l="1"/>
  <c r="AE8" i="15"/>
  <c r="BA3" i="15"/>
  <c r="BV3" i="15" s="1"/>
  <c r="BA4" i="15"/>
  <c r="BV4" i="15" s="1"/>
  <c r="BA6" i="15"/>
  <c r="BV6" i="15" s="1"/>
  <c r="BA7" i="15"/>
  <c r="BV7" i="15" s="1"/>
  <c r="BA2" i="15"/>
  <c r="BV2" i="15" s="1"/>
  <c r="BL8" i="15" l="1"/>
  <c r="BV8" i="15"/>
  <c r="BM8" i="15"/>
  <c r="BN8" i="15"/>
  <c r="BC8" i="15"/>
  <c r="BO8" i="15"/>
  <c r="BD8" i="15"/>
  <c r="BP8" i="15"/>
  <c r="BE8" i="15"/>
  <c r="BQ8" i="15"/>
  <c r="BF8" i="15"/>
  <c r="BR8" i="15"/>
  <c r="BG8" i="15"/>
  <c r="BS8" i="15"/>
  <c r="BH8" i="15"/>
  <c r="BT8" i="15"/>
  <c r="BI8" i="15"/>
  <c r="BU8" i="15"/>
  <c r="BJ8" i="15"/>
  <c r="BW8" i="15"/>
  <c r="BK8" i="15"/>
  <c r="AI8" i="15" l="1"/>
  <c r="CA8" i="15"/>
  <c r="BZ8" i="15"/>
  <c r="AJ8" i="15" l="1"/>
  <c r="AG8" i="15" s="1"/>
  <c r="AE7" i="15" l="1"/>
  <c r="BC7" i="15"/>
  <c r="BD7" i="15"/>
  <c r="BE7" i="15"/>
  <c r="BF7" i="15"/>
  <c r="BG7" i="15"/>
  <c r="BH7" i="15"/>
  <c r="BI7" i="15"/>
  <c r="BJ7" i="15"/>
  <c r="BK7" i="15"/>
  <c r="BL7" i="15"/>
  <c r="BM7" i="15"/>
  <c r="BN7" i="15"/>
  <c r="BO7" i="15"/>
  <c r="BP7" i="15"/>
  <c r="BQ7" i="15"/>
  <c r="BR7" i="15"/>
  <c r="BS7" i="15"/>
  <c r="BT7" i="15"/>
  <c r="BU7" i="15"/>
  <c r="BW7" i="15"/>
  <c r="AE3" i="15"/>
  <c r="AE4" i="15"/>
  <c r="AE6" i="15"/>
  <c r="AE2" i="15"/>
  <c r="CJ3" i="6"/>
  <c r="CJ4" i="6"/>
  <c r="CJ5" i="6"/>
  <c r="CJ6" i="6"/>
  <c r="CJ7" i="6"/>
  <c r="CJ8" i="6"/>
  <c r="CJ9" i="6"/>
  <c r="CJ11" i="6"/>
  <c r="CJ12" i="6"/>
  <c r="CJ13" i="6"/>
  <c r="CJ14" i="6"/>
  <c r="CJ15" i="6"/>
  <c r="CJ16" i="6"/>
  <c r="CJ17" i="6"/>
  <c r="CJ18" i="6"/>
  <c r="CJ19" i="6"/>
  <c r="CJ20" i="6"/>
  <c r="CJ21" i="6"/>
  <c r="CJ24" i="6"/>
  <c r="CJ25" i="6"/>
  <c r="CJ26" i="6"/>
  <c r="CJ27" i="6"/>
  <c r="CJ28" i="6"/>
  <c r="CJ29" i="6"/>
  <c r="CJ30" i="6"/>
  <c r="CJ31" i="6"/>
  <c r="CJ32" i="6"/>
  <c r="CJ33" i="6"/>
  <c r="CJ34" i="6"/>
  <c r="CJ36" i="6"/>
  <c r="CJ37" i="6"/>
  <c r="CJ38" i="6"/>
  <c r="CJ39" i="6"/>
  <c r="CJ40" i="6"/>
  <c r="CJ41" i="6"/>
  <c r="CJ42" i="6"/>
  <c r="CJ43" i="6"/>
  <c r="CJ44" i="6"/>
  <c r="CJ45" i="6"/>
  <c r="CJ46" i="6"/>
  <c r="CJ47" i="6"/>
  <c r="CJ48" i="6"/>
  <c r="CJ49" i="6"/>
  <c r="CJ50" i="6"/>
  <c r="CJ2" i="6"/>
  <c r="AD3" i="1"/>
  <c r="AD4" i="1"/>
  <c r="AD2" i="1"/>
  <c r="AI7" i="15" l="1"/>
  <c r="CA7" i="15"/>
  <c r="BZ7" i="15"/>
  <c r="AJ7" i="15"/>
  <c r="AG7" i="15" s="1"/>
  <c r="AW78" i="6"/>
  <c r="AX78" i="6"/>
  <c r="AY78" i="6"/>
  <c r="AZ78" i="6"/>
  <c r="BA78" i="6"/>
  <c r="BB78" i="6"/>
  <c r="BC78" i="6"/>
  <c r="BD78" i="6"/>
  <c r="BE78" i="6"/>
  <c r="BF78" i="6"/>
  <c r="BG78" i="6"/>
  <c r="BH78" i="6"/>
  <c r="BI78" i="6"/>
  <c r="BJ78" i="6"/>
  <c r="BK78" i="6"/>
  <c r="BL78" i="6"/>
  <c r="BM78" i="6"/>
  <c r="BN78" i="6"/>
  <c r="BO78" i="6"/>
  <c r="BP78" i="6"/>
  <c r="BR78" i="6"/>
  <c r="BS78" i="6"/>
  <c r="BT78" i="6"/>
  <c r="BU78" i="6"/>
  <c r="BV78" i="6"/>
  <c r="BW78" i="6"/>
  <c r="BX78" i="6"/>
  <c r="BY78" i="6"/>
  <c r="BZ78" i="6"/>
  <c r="CA78" i="6"/>
  <c r="CB78" i="6"/>
  <c r="CC78" i="6"/>
  <c r="CD78" i="6"/>
  <c r="CE78" i="6"/>
  <c r="CF78" i="6"/>
  <c r="CG78" i="6"/>
  <c r="CL78" i="6"/>
  <c r="CM78" i="6"/>
  <c r="CN78" i="6"/>
  <c r="CO78" i="6"/>
  <c r="CP78" i="6"/>
  <c r="CQ78" i="6"/>
  <c r="CS78" i="6"/>
  <c r="CT78" i="6"/>
  <c r="CU78" i="6"/>
  <c r="CV78" i="6"/>
  <c r="CW78" i="6"/>
  <c r="CX78" i="6"/>
  <c r="CY78" i="6"/>
  <c r="CZ78" i="6"/>
  <c r="DA78" i="6"/>
  <c r="DB78" i="6"/>
  <c r="DC78" i="6"/>
  <c r="DD78" i="6"/>
  <c r="DE78" i="6"/>
  <c r="DG78" i="6"/>
  <c r="DH78" i="6"/>
  <c r="DI78" i="6"/>
  <c r="DJ78" i="6"/>
  <c r="DK78" i="6"/>
  <c r="DL78" i="6"/>
  <c r="DM78" i="6"/>
  <c r="DN78" i="6"/>
  <c r="DO78" i="6"/>
  <c r="DP78" i="6"/>
  <c r="DQ78" i="6"/>
  <c r="DR78" i="6"/>
  <c r="DS78" i="6"/>
  <c r="DT78" i="6"/>
  <c r="DU78" i="6"/>
  <c r="DV78" i="6"/>
  <c r="AW79" i="6"/>
  <c r="AX79" i="6"/>
  <c r="AY79" i="6"/>
  <c r="AZ79" i="6"/>
  <c r="BA79" i="6"/>
  <c r="BB79" i="6"/>
  <c r="BC79" i="6"/>
  <c r="BD79" i="6"/>
  <c r="BE79" i="6"/>
  <c r="BF79" i="6"/>
  <c r="BG79" i="6"/>
  <c r="BH79" i="6"/>
  <c r="BI79" i="6"/>
  <c r="BJ79" i="6"/>
  <c r="BK79" i="6"/>
  <c r="BL79" i="6"/>
  <c r="BM79" i="6"/>
  <c r="BN79" i="6"/>
  <c r="BO79" i="6"/>
  <c r="BP79" i="6"/>
  <c r="BR79" i="6"/>
  <c r="BS79" i="6"/>
  <c r="BT79" i="6"/>
  <c r="BU79" i="6"/>
  <c r="BV79" i="6"/>
  <c r="BW79" i="6"/>
  <c r="BX79" i="6"/>
  <c r="BY79" i="6"/>
  <c r="BZ79" i="6"/>
  <c r="CA79" i="6"/>
  <c r="CB79" i="6"/>
  <c r="CC79" i="6"/>
  <c r="CD79" i="6"/>
  <c r="CE79" i="6"/>
  <c r="CF79" i="6"/>
  <c r="CG79" i="6"/>
  <c r="CL79" i="6"/>
  <c r="CM79" i="6"/>
  <c r="CN79" i="6"/>
  <c r="CO79" i="6"/>
  <c r="CP79" i="6"/>
  <c r="CQ79" i="6"/>
  <c r="CS79" i="6"/>
  <c r="CT79" i="6"/>
  <c r="CU79" i="6"/>
  <c r="CV79" i="6"/>
  <c r="CW79" i="6"/>
  <c r="CX79" i="6"/>
  <c r="CY79" i="6"/>
  <c r="CZ79" i="6"/>
  <c r="DA79" i="6"/>
  <c r="DB79" i="6"/>
  <c r="DC79" i="6"/>
  <c r="DD79" i="6"/>
  <c r="DE79" i="6"/>
  <c r="DG79" i="6"/>
  <c r="DH79" i="6"/>
  <c r="DI79" i="6"/>
  <c r="DJ79" i="6"/>
  <c r="DK79" i="6"/>
  <c r="DL79" i="6"/>
  <c r="DM79" i="6"/>
  <c r="DN79" i="6"/>
  <c r="DO79" i="6"/>
  <c r="DP79" i="6"/>
  <c r="DQ79" i="6"/>
  <c r="DR79" i="6"/>
  <c r="DS79" i="6"/>
  <c r="DT79" i="6"/>
  <c r="DU79" i="6"/>
  <c r="DV79" i="6"/>
  <c r="AW80" i="6"/>
  <c r="AX80" i="6"/>
  <c r="AY80" i="6"/>
  <c r="AZ80" i="6"/>
  <c r="BA80" i="6"/>
  <c r="BB80" i="6"/>
  <c r="BC80" i="6"/>
  <c r="BD80" i="6"/>
  <c r="BE80" i="6"/>
  <c r="BF80" i="6"/>
  <c r="BG80" i="6"/>
  <c r="BH80" i="6"/>
  <c r="BI80" i="6"/>
  <c r="BJ80" i="6"/>
  <c r="BK80" i="6"/>
  <c r="BL80" i="6"/>
  <c r="BM80" i="6"/>
  <c r="BN80" i="6"/>
  <c r="BO80" i="6"/>
  <c r="BP80" i="6"/>
  <c r="BR80" i="6"/>
  <c r="BS80" i="6"/>
  <c r="BT80" i="6"/>
  <c r="BU80" i="6"/>
  <c r="BV80" i="6"/>
  <c r="BW80" i="6"/>
  <c r="BX80" i="6"/>
  <c r="BY80" i="6"/>
  <c r="BZ80" i="6"/>
  <c r="CA80" i="6"/>
  <c r="CB80" i="6"/>
  <c r="CC80" i="6"/>
  <c r="CD80" i="6"/>
  <c r="CE80" i="6"/>
  <c r="CF80" i="6"/>
  <c r="CG80" i="6"/>
  <c r="CL80" i="6"/>
  <c r="CM80" i="6"/>
  <c r="CN80" i="6"/>
  <c r="CO80" i="6"/>
  <c r="CP80" i="6"/>
  <c r="CQ80" i="6"/>
  <c r="CS80" i="6"/>
  <c r="CT80" i="6"/>
  <c r="CU80" i="6"/>
  <c r="CV80" i="6"/>
  <c r="CW80" i="6"/>
  <c r="CX80" i="6"/>
  <c r="CY80" i="6"/>
  <c r="CZ80" i="6"/>
  <c r="DA80" i="6"/>
  <c r="DB80" i="6"/>
  <c r="DC80" i="6"/>
  <c r="DD80" i="6"/>
  <c r="DE80" i="6"/>
  <c r="DG80" i="6"/>
  <c r="DH80" i="6"/>
  <c r="DI80" i="6"/>
  <c r="DJ80" i="6"/>
  <c r="DK80" i="6"/>
  <c r="DL80" i="6"/>
  <c r="DM80" i="6"/>
  <c r="DN80" i="6"/>
  <c r="DO80" i="6"/>
  <c r="DP80" i="6"/>
  <c r="DQ80" i="6"/>
  <c r="DR80" i="6"/>
  <c r="DS80" i="6"/>
  <c r="DT80" i="6"/>
  <c r="DU80" i="6"/>
  <c r="DV80" i="6"/>
  <c r="AW81" i="6"/>
  <c r="AX81" i="6"/>
  <c r="AY81" i="6"/>
  <c r="AZ81" i="6"/>
  <c r="BA81" i="6"/>
  <c r="BB81" i="6"/>
  <c r="BC81" i="6"/>
  <c r="BD81" i="6"/>
  <c r="BE81" i="6"/>
  <c r="BF81" i="6"/>
  <c r="BG81" i="6"/>
  <c r="BH81" i="6"/>
  <c r="BI81" i="6"/>
  <c r="BJ81" i="6"/>
  <c r="BK81" i="6"/>
  <c r="BL81" i="6"/>
  <c r="BM81" i="6"/>
  <c r="BN81" i="6"/>
  <c r="BO81" i="6"/>
  <c r="BP81" i="6"/>
  <c r="BR81" i="6"/>
  <c r="BS81" i="6"/>
  <c r="BT81" i="6"/>
  <c r="BU81" i="6"/>
  <c r="BV81" i="6"/>
  <c r="BW81" i="6"/>
  <c r="BX81" i="6"/>
  <c r="BY81" i="6"/>
  <c r="BZ81" i="6"/>
  <c r="CA81" i="6"/>
  <c r="CB81" i="6"/>
  <c r="CC81" i="6"/>
  <c r="CD81" i="6"/>
  <c r="CE81" i="6"/>
  <c r="CF81" i="6"/>
  <c r="CG81" i="6"/>
  <c r="CJ81" i="6"/>
  <c r="CL81" i="6"/>
  <c r="CM81" i="6"/>
  <c r="CN81" i="6"/>
  <c r="CO81" i="6"/>
  <c r="CP81" i="6"/>
  <c r="CR81" i="6" s="1"/>
  <c r="DX81" i="6" s="1"/>
  <c r="CQ81" i="6"/>
  <c r="CS81" i="6"/>
  <c r="CT81" i="6"/>
  <c r="CU81" i="6"/>
  <c r="CV81" i="6"/>
  <c r="CW81" i="6"/>
  <c r="CX81" i="6"/>
  <c r="CY81" i="6"/>
  <c r="CZ81" i="6"/>
  <c r="DA81" i="6"/>
  <c r="DB81" i="6"/>
  <c r="DC81" i="6"/>
  <c r="DD81" i="6"/>
  <c r="DE81" i="6"/>
  <c r="DG81" i="6"/>
  <c r="DH81" i="6"/>
  <c r="DI81" i="6"/>
  <c r="DJ81" i="6"/>
  <c r="DK81" i="6"/>
  <c r="DL81" i="6"/>
  <c r="DM81" i="6"/>
  <c r="DN81" i="6"/>
  <c r="DO81" i="6"/>
  <c r="DP81" i="6"/>
  <c r="DQ81" i="6"/>
  <c r="DR81" i="6"/>
  <c r="DS81" i="6"/>
  <c r="DT81" i="6"/>
  <c r="DU81" i="6"/>
  <c r="DV81" i="6"/>
  <c r="AW82" i="6"/>
  <c r="AX82" i="6"/>
  <c r="AY82" i="6"/>
  <c r="AZ82" i="6"/>
  <c r="BA82" i="6"/>
  <c r="BB82" i="6"/>
  <c r="BC82" i="6"/>
  <c r="BD82" i="6"/>
  <c r="BE82" i="6"/>
  <c r="BF82" i="6"/>
  <c r="BG82" i="6"/>
  <c r="BH82" i="6"/>
  <c r="BI82" i="6"/>
  <c r="BJ82" i="6"/>
  <c r="BK82" i="6"/>
  <c r="BL82" i="6"/>
  <c r="BM82" i="6"/>
  <c r="BN82" i="6"/>
  <c r="BO82" i="6"/>
  <c r="BP82" i="6"/>
  <c r="BR82" i="6"/>
  <c r="BS82" i="6"/>
  <c r="BT82" i="6"/>
  <c r="BU82" i="6"/>
  <c r="BV82" i="6"/>
  <c r="BW82" i="6"/>
  <c r="BX82" i="6"/>
  <c r="BY82" i="6"/>
  <c r="BZ82" i="6"/>
  <c r="CA82" i="6"/>
  <c r="CB82" i="6"/>
  <c r="CC82" i="6"/>
  <c r="CD82" i="6"/>
  <c r="CE82" i="6"/>
  <c r="CF82" i="6"/>
  <c r="CG82" i="6"/>
  <c r="CL82" i="6"/>
  <c r="CM82" i="6"/>
  <c r="CN82" i="6"/>
  <c r="CO82" i="6"/>
  <c r="CP82" i="6"/>
  <c r="CQ82" i="6"/>
  <c r="CS82" i="6"/>
  <c r="CT82" i="6"/>
  <c r="CU82" i="6"/>
  <c r="CV82" i="6"/>
  <c r="CW82" i="6"/>
  <c r="CX82" i="6"/>
  <c r="CY82" i="6"/>
  <c r="CZ82" i="6"/>
  <c r="DA82" i="6"/>
  <c r="DB82" i="6"/>
  <c r="DC82" i="6"/>
  <c r="DD82" i="6"/>
  <c r="DE82" i="6"/>
  <c r="DG82" i="6"/>
  <c r="DH82" i="6"/>
  <c r="DI82" i="6"/>
  <c r="DJ82" i="6"/>
  <c r="DK82" i="6"/>
  <c r="DL82" i="6"/>
  <c r="DM82" i="6"/>
  <c r="DN82" i="6"/>
  <c r="DO82" i="6"/>
  <c r="DP82" i="6"/>
  <c r="DQ82" i="6"/>
  <c r="DR82" i="6"/>
  <c r="DS82" i="6"/>
  <c r="DT82" i="6"/>
  <c r="DU82" i="6"/>
  <c r="DV82" i="6"/>
  <c r="AW83" i="6"/>
  <c r="AX83" i="6"/>
  <c r="AY83" i="6"/>
  <c r="AZ83" i="6"/>
  <c r="BA83" i="6"/>
  <c r="BB83" i="6"/>
  <c r="BC83" i="6"/>
  <c r="BD83" i="6"/>
  <c r="BE83" i="6"/>
  <c r="BF83" i="6"/>
  <c r="BG83" i="6"/>
  <c r="BH83" i="6"/>
  <c r="BI83" i="6"/>
  <c r="BJ83" i="6"/>
  <c r="BK83" i="6"/>
  <c r="BL83" i="6"/>
  <c r="BM83" i="6"/>
  <c r="BN83" i="6"/>
  <c r="BO83" i="6"/>
  <c r="BP83" i="6"/>
  <c r="BR83" i="6"/>
  <c r="BS83" i="6"/>
  <c r="BT83" i="6"/>
  <c r="BU83" i="6"/>
  <c r="BV83" i="6"/>
  <c r="BW83" i="6"/>
  <c r="BX83" i="6"/>
  <c r="BY83" i="6"/>
  <c r="BZ83" i="6"/>
  <c r="CA83" i="6"/>
  <c r="CB83" i="6"/>
  <c r="CC83" i="6"/>
  <c r="CD83" i="6"/>
  <c r="CE83" i="6"/>
  <c r="CF83" i="6"/>
  <c r="CG83" i="6"/>
  <c r="CL83" i="6"/>
  <c r="CM83" i="6"/>
  <c r="CN83" i="6"/>
  <c r="CO83" i="6"/>
  <c r="CP83" i="6"/>
  <c r="CQ83" i="6"/>
  <c r="CR83" i="6" s="1"/>
  <c r="CS83" i="6"/>
  <c r="CT83" i="6"/>
  <c r="CU83" i="6"/>
  <c r="CV83" i="6"/>
  <c r="CW83" i="6"/>
  <c r="CX83" i="6"/>
  <c r="CY83" i="6"/>
  <c r="CZ83" i="6"/>
  <c r="DA83" i="6"/>
  <c r="DB83" i="6"/>
  <c r="DC83" i="6"/>
  <c r="DD83" i="6"/>
  <c r="DE83" i="6"/>
  <c r="DG83" i="6"/>
  <c r="DH83" i="6"/>
  <c r="DI83" i="6"/>
  <c r="DJ83" i="6"/>
  <c r="DK83" i="6"/>
  <c r="DL83" i="6"/>
  <c r="DM83" i="6"/>
  <c r="DN83" i="6"/>
  <c r="DO83" i="6"/>
  <c r="DP83" i="6"/>
  <c r="DQ83" i="6"/>
  <c r="DR83" i="6"/>
  <c r="DS83" i="6"/>
  <c r="DT83" i="6"/>
  <c r="DU83" i="6"/>
  <c r="DV83" i="6"/>
  <c r="AW84" i="6"/>
  <c r="AX84" i="6"/>
  <c r="AY84" i="6"/>
  <c r="AZ84" i="6"/>
  <c r="BA84" i="6"/>
  <c r="BB84" i="6"/>
  <c r="BC84" i="6"/>
  <c r="BD84" i="6"/>
  <c r="BE84" i="6"/>
  <c r="BF84" i="6"/>
  <c r="BG84" i="6"/>
  <c r="BH84" i="6"/>
  <c r="BI84" i="6"/>
  <c r="BJ84" i="6"/>
  <c r="BK84" i="6"/>
  <c r="BL84" i="6"/>
  <c r="BM84" i="6"/>
  <c r="BN84" i="6"/>
  <c r="BO84" i="6"/>
  <c r="BP84" i="6"/>
  <c r="BR84" i="6"/>
  <c r="BS84" i="6"/>
  <c r="BT84" i="6"/>
  <c r="BU84" i="6"/>
  <c r="BV84" i="6"/>
  <c r="BW84" i="6"/>
  <c r="BX84" i="6"/>
  <c r="BY84" i="6"/>
  <c r="BZ84" i="6"/>
  <c r="CA84" i="6"/>
  <c r="CB84" i="6"/>
  <c r="CC84" i="6"/>
  <c r="CD84" i="6"/>
  <c r="CE84" i="6"/>
  <c r="CF84" i="6"/>
  <c r="CG84" i="6"/>
  <c r="CL84" i="6"/>
  <c r="CM84" i="6"/>
  <c r="CN84" i="6"/>
  <c r="CO84" i="6"/>
  <c r="CP84" i="6"/>
  <c r="CQ84" i="6"/>
  <c r="CS84" i="6"/>
  <c r="CT84" i="6"/>
  <c r="CU84" i="6"/>
  <c r="CV84" i="6"/>
  <c r="CW84" i="6"/>
  <c r="CX84" i="6"/>
  <c r="CY84" i="6"/>
  <c r="CZ84" i="6"/>
  <c r="DA84" i="6"/>
  <c r="DB84" i="6"/>
  <c r="DC84" i="6"/>
  <c r="DD84" i="6"/>
  <c r="DE84" i="6"/>
  <c r="DG84" i="6"/>
  <c r="DH84" i="6"/>
  <c r="DI84" i="6"/>
  <c r="DJ84" i="6"/>
  <c r="DK84" i="6"/>
  <c r="DL84" i="6"/>
  <c r="DM84" i="6"/>
  <c r="DN84" i="6"/>
  <c r="DO84" i="6"/>
  <c r="DP84" i="6"/>
  <c r="DQ84" i="6"/>
  <c r="DR84" i="6"/>
  <c r="DS84" i="6"/>
  <c r="DT84" i="6"/>
  <c r="DU84" i="6"/>
  <c r="DV84" i="6"/>
  <c r="AW85" i="6"/>
  <c r="AX85" i="6"/>
  <c r="AY85" i="6"/>
  <c r="AZ85" i="6"/>
  <c r="BA85" i="6"/>
  <c r="BB85" i="6"/>
  <c r="BC85" i="6"/>
  <c r="BD85" i="6"/>
  <c r="BE85" i="6"/>
  <c r="BF85" i="6"/>
  <c r="BG85" i="6"/>
  <c r="BH85" i="6"/>
  <c r="BI85" i="6"/>
  <c r="BJ85" i="6"/>
  <c r="BK85" i="6"/>
  <c r="BL85" i="6"/>
  <c r="BM85" i="6"/>
  <c r="BN85" i="6"/>
  <c r="BO85" i="6"/>
  <c r="BP85" i="6"/>
  <c r="BR85" i="6"/>
  <c r="BS85" i="6"/>
  <c r="BT85" i="6"/>
  <c r="BU85" i="6"/>
  <c r="BV85" i="6"/>
  <c r="BW85" i="6"/>
  <c r="BX85" i="6"/>
  <c r="BY85" i="6"/>
  <c r="BZ85" i="6"/>
  <c r="CA85" i="6"/>
  <c r="CB85" i="6"/>
  <c r="CC85" i="6"/>
  <c r="CD85" i="6"/>
  <c r="CE85" i="6"/>
  <c r="CF85" i="6"/>
  <c r="CG85" i="6"/>
  <c r="CL85" i="6"/>
  <c r="CM85" i="6"/>
  <c r="CN85" i="6"/>
  <c r="CO85" i="6"/>
  <c r="CP85" i="6"/>
  <c r="CQ85" i="6"/>
  <c r="CS85" i="6"/>
  <c r="CT85" i="6"/>
  <c r="CU85" i="6"/>
  <c r="CV85" i="6"/>
  <c r="CW85" i="6"/>
  <c r="CX85" i="6"/>
  <c r="CY85" i="6"/>
  <c r="CZ85" i="6"/>
  <c r="DA85" i="6"/>
  <c r="DB85" i="6"/>
  <c r="DC85" i="6"/>
  <c r="DD85" i="6"/>
  <c r="DE85" i="6"/>
  <c r="DG85" i="6"/>
  <c r="DH85" i="6"/>
  <c r="DI85" i="6"/>
  <c r="DJ85" i="6"/>
  <c r="DK85" i="6"/>
  <c r="DL85" i="6"/>
  <c r="DM85" i="6"/>
  <c r="DN85" i="6"/>
  <c r="DO85" i="6"/>
  <c r="DP85" i="6"/>
  <c r="DQ85" i="6"/>
  <c r="DR85" i="6"/>
  <c r="DS85" i="6"/>
  <c r="DT85" i="6"/>
  <c r="DU85" i="6"/>
  <c r="DV85" i="6"/>
  <c r="AW86" i="6"/>
  <c r="AX86" i="6"/>
  <c r="AY86" i="6"/>
  <c r="AZ86" i="6"/>
  <c r="BA86" i="6"/>
  <c r="BB86" i="6"/>
  <c r="BC86" i="6"/>
  <c r="BD86" i="6"/>
  <c r="BE86" i="6"/>
  <c r="BF86" i="6"/>
  <c r="BG86" i="6"/>
  <c r="BH86" i="6"/>
  <c r="BI86" i="6"/>
  <c r="BJ86" i="6"/>
  <c r="BK86" i="6"/>
  <c r="BL86" i="6"/>
  <c r="BM86" i="6"/>
  <c r="BN86" i="6"/>
  <c r="BO86" i="6"/>
  <c r="BP86" i="6"/>
  <c r="BR86" i="6"/>
  <c r="BS86" i="6"/>
  <c r="BT86" i="6"/>
  <c r="BU86" i="6"/>
  <c r="BV86" i="6"/>
  <c r="BW86" i="6"/>
  <c r="BX86" i="6"/>
  <c r="BY86" i="6"/>
  <c r="BZ86" i="6"/>
  <c r="CA86" i="6"/>
  <c r="CB86" i="6"/>
  <c r="CC86" i="6"/>
  <c r="CD86" i="6"/>
  <c r="CE86" i="6"/>
  <c r="CF86" i="6"/>
  <c r="CG86" i="6"/>
  <c r="CL86" i="6"/>
  <c r="CM86" i="6"/>
  <c r="CN86" i="6"/>
  <c r="CO86" i="6"/>
  <c r="CP86" i="6"/>
  <c r="CR86" i="6" s="1"/>
  <c r="CQ86" i="6"/>
  <c r="CS86" i="6"/>
  <c r="CT86" i="6"/>
  <c r="CU86" i="6"/>
  <c r="CV86" i="6"/>
  <c r="CW86" i="6"/>
  <c r="CX86" i="6"/>
  <c r="CY86" i="6"/>
  <c r="CZ86" i="6"/>
  <c r="DA86" i="6"/>
  <c r="DB86" i="6"/>
  <c r="DC86" i="6"/>
  <c r="DD86" i="6"/>
  <c r="DE86" i="6"/>
  <c r="DG86" i="6"/>
  <c r="DH86" i="6"/>
  <c r="DI86" i="6"/>
  <c r="DJ86" i="6"/>
  <c r="DK86" i="6"/>
  <c r="DL86" i="6"/>
  <c r="DM86" i="6"/>
  <c r="DN86" i="6"/>
  <c r="DO86" i="6"/>
  <c r="DP86" i="6"/>
  <c r="DQ86" i="6"/>
  <c r="DR86" i="6"/>
  <c r="DS86" i="6"/>
  <c r="DT86" i="6"/>
  <c r="DU86" i="6"/>
  <c r="DV86" i="6"/>
  <c r="AW87" i="6"/>
  <c r="AX87" i="6"/>
  <c r="CJ87" i="6" s="1"/>
  <c r="AY87" i="6"/>
  <c r="AZ87" i="6"/>
  <c r="BA87" i="6"/>
  <c r="BB87" i="6"/>
  <c r="BC87" i="6"/>
  <c r="BD87" i="6"/>
  <c r="BE87" i="6"/>
  <c r="BF87" i="6"/>
  <c r="BG87" i="6"/>
  <c r="BH87" i="6"/>
  <c r="BI87" i="6"/>
  <c r="BJ87" i="6"/>
  <c r="BK87" i="6"/>
  <c r="BL87" i="6"/>
  <c r="BM87" i="6"/>
  <c r="BN87" i="6"/>
  <c r="BO87" i="6"/>
  <c r="BP87" i="6"/>
  <c r="BR87" i="6"/>
  <c r="BS87" i="6"/>
  <c r="BT87" i="6"/>
  <c r="BU87" i="6"/>
  <c r="BV87" i="6"/>
  <c r="BW87" i="6"/>
  <c r="BX87" i="6"/>
  <c r="BY87" i="6"/>
  <c r="BZ87" i="6"/>
  <c r="CA87" i="6"/>
  <c r="CB87" i="6"/>
  <c r="CC87" i="6"/>
  <c r="CD87" i="6"/>
  <c r="CE87" i="6"/>
  <c r="CF87" i="6"/>
  <c r="CG87" i="6"/>
  <c r="CL87" i="6"/>
  <c r="CM87" i="6"/>
  <c r="CN87" i="6"/>
  <c r="CO87" i="6"/>
  <c r="CP87" i="6"/>
  <c r="CR87" i="6" s="1"/>
  <c r="CQ87" i="6"/>
  <c r="CS87" i="6"/>
  <c r="CT87" i="6"/>
  <c r="CU87" i="6"/>
  <c r="CV87" i="6"/>
  <c r="CW87" i="6"/>
  <c r="CX87" i="6"/>
  <c r="CY87" i="6"/>
  <c r="CZ87" i="6"/>
  <c r="DA87" i="6"/>
  <c r="DB87" i="6"/>
  <c r="DC87" i="6"/>
  <c r="DD87" i="6"/>
  <c r="DE87" i="6"/>
  <c r="DG87" i="6"/>
  <c r="DH87" i="6"/>
  <c r="DI87" i="6"/>
  <c r="DJ87" i="6"/>
  <c r="DK87" i="6"/>
  <c r="DL87" i="6"/>
  <c r="DM87" i="6"/>
  <c r="DN87" i="6"/>
  <c r="DO87" i="6"/>
  <c r="DP87" i="6"/>
  <c r="DQ87" i="6"/>
  <c r="DR87" i="6"/>
  <c r="DS87" i="6"/>
  <c r="DT87" i="6"/>
  <c r="DU87" i="6"/>
  <c r="DV87" i="6"/>
  <c r="AW88" i="6"/>
  <c r="AX88" i="6"/>
  <c r="AY88" i="6"/>
  <c r="AZ88" i="6"/>
  <c r="BA88" i="6"/>
  <c r="BB88" i="6"/>
  <c r="BC88" i="6"/>
  <c r="BD88" i="6"/>
  <c r="BE88" i="6"/>
  <c r="BF88" i="6"/>
  <c r="BG88" i="6"/>
  <c r="BH88" i="6"/>
  <c r="BI88" i="6"/>
  <c r="BJ88" i="6"/>
  <c r="BK88" i="6"/>
  <c r="BL88" i="6"/>
  <c r="BM88" i="6"/>
  <c r="BN88" i="6"/>
  <c r="BO88" i="6"/>
  <c r="BP88" i="6"/>
  <c r="BR88" i="6"/>
  <c r="BS88" i="6"/>
  <c r="BT88" i="6"/>
  <c r="BU88" i="6"/>
  <c r="BV88" i="6"/>
  <c r="BW88" i="6"/>
  <c r="BX88" i="6"/>
  <c r="BY88" i="6"/>
  <c r="BZ88" i="6"/>
  <c r="CA88" i="6"/>
  <c r="CB88" i="6"/>
  <c r="CC88" i="6"/>
  <c r="CD88" i="6"/>
  <c r="CE88" i="6"/>
  <c r="CF88" i="6"/>
  <c r="CG88" i="6"/>
  <c r="CL88" i="6"/>
  <c r="CM88" i="6"/>
  <c r="CN88" i="6"/>
  <c r="CO88" i="6"/>
  <c r="CP88" i="6"/>
  <c r="CQ88" i="6"/>
  <c r="CS88" i="6"/>
  <c r="CT88" i="6"/>
  <c r="CU88" i="6"/>
  <c r="CV88" i="6"/>
  <c r="CW88" i="6"/>
  <c r="CX88" i="6"/>
  <c r="CY88" i="6"/>
  <c r="CZ88" i="6"/>
  <c r="DA88" i="6"/>
  <c r="DB88" i="6"/>
  <c r="DC88" i="6"/>
  <c r="DD88" i="6"/>
  <c r="DE88" i="6"/>
  <c r="DG88" i="6"/>
  <c r="DH88" i="6"/>
  <c r="DI88" i="6"/>
  <c r="DJ88" i="6"/>
  <c r="DK88" i="6"/>
  <c r="DL88" i="6"/>
  <c r="DM88" i="6"/>
  <c r="DN88" i="6"/>
  <c r="DO88" i="6"/>
  <c r="DP88" i="6"/>
  <c r="DQ88" i="6"/>
  <c r="DR88" i="6"/>
  <c r="DS88" i="6"/>
  <c r="DT88" i="6"/>
  <c r="DU88" i="6"/>
  <c r="DV88" i="6"/>
  <c r="AW89" i="6"/>
  <c r="AX89" i="6"/>
  <c r="AY89" i="6"/>
  <c r="AZ89" i="6"/>
  <c r="BA89" i="6"/>
  <c r="BB89" i="6"/>
  <c r="BC89" i="6"/>
  <c r="BD89" i="6"/>
  <c r="BE89" i="6"/>
  <c r="BF89" i="6"/>
  <c r="BG89" i="6"/>
  <c r="BH89" i="6"/>
  <c r="BI89" i="6"/>
  <c r="BJ89" i="6"/>
  <c r="BK89" i="6"/>
  <c r="BL89" i="6"/>
  <c r="BM89" i="6"/>
  <c r="BN89" i="6"/>
  <c r="BO89" i="6"/>
  <c r="BP89" i="6"/>
  <c r="BR89" i="6"/>
  <c r="BS89" i="6"/>
  <c r="BT89" i="6"/>
  <c r="BU89" i="6"/>
  <c r="BV89" i="6"/>
  <c r="BW89" i="6"/>
  <c r="BX89" i="6"/>
  <c r="BY89" i="6"/>
  <c r="BZ89" i="6"/>
  <c r="CA89" i="6"/>
  <c r="CB89" i="6"/>
  <c r="CC89" i="6"/>
  <c r="CD89" i="6"/>
  <c r="CE89" i="6"/>
  <c r="CF89" i="6"/>
  <c r="CG89" i="6"/>
  <c r="CL89" i="6"/>
  <c r="CM89" i="6"/>
  <c r="CN89" i="6"/>
  <c r="CO89" i="6"/>
  <c r="CP89" i="6"/>
  <c r="CQ89" i="6"/>
  <c r="CR89" i="6" s="1"/>
  <c r="CS89" i="6"/>
  <c r="CT89" i="6"/>
  <c r="CU89" i="6"/>
  <c r="CV89" i="6"/>
  <c r="CW89" i="6"/>
  <c r="CX89" i="6"/>
  <c r="CY89" i="6"/>
  <c r="CZ89" i="6"/>
  <c r="DA89" i="6"/>
  <c r="DB89" i="6"/>
  <c r="DC89" i="6"/>
  <c r="DD89" i="6"/>
  <c r="DE89" i="6"/>
  <c r="DG89" i="6"/>
  <c r="DH89" i="6"/>
  <c r="DI89" i="6"/>
  <c r="DJ89" i="6"/>
  <c r="DK89" i="6"/>
  <c r="DL89" i="6"/>
  <c r="DM89" i="6"/>
  <c r="DN89" i="6"/>
  <c r="DO89" i="6"/>
  <c r="DP89" i="6"/>
  <c r="DQ89" i="6"/>
  <c r="DR89" i="6"/>
  <c r="DS89" i="6"/>
  <c r="DT89" i="6"/>
  <c r="DU89" i="6"/>
  <c r="DV89" i="6"/>
  <c r="AW90" i="6"/>
  <c r="AX90" i="6"/>
  <c r="AY90" i="6"/>
  <c r="AZ90" i="6"/>
  <c r="BA90" i="6"/>
  <c r="BB90" i="6"/>
  <c r="BC90" i="6"/>
  <c r="BD90" i="6"/>
  <c r="BE90" i="6"/>
  <c r="BF90" i="6"/>
  <c r="BG90" i="6"/>
  <c r="BH90" i="6"/>
  <c r="BI90" i="6"/>
  <c r="BJ90" i="6"/>
  <c r="BK90" i="6"/>
  <c r="BL90" i="6"/>
  <c r="BM90" i="6"/>
  <c r="BN90" i="6"/>
  <c r="BO90" i="6"/>
  <c r="BP90" i="6"/>
  <c r="BR90" i="6"/>
  <c r="BS90" i="6"/>
  <c r="BT90" i="6"/>
  <c r="BU90" i="6"/>
  <c r="BV90" i="6"/>
  <c r="BW90" i="6"/>
  <c r="BX90" i="6"/>
  <c r="BY90" i="6"/>
  <c r="BZ90" i="6"/>
  <c r="CA90" i="6"/>
  <c r="CB90" i="6"/>
  <c r="CC90" i="6"/>
  <c r="CD90" i="6"/>
  <c r="CE90" i="6"/>
  <c r="CF90" i="6"/>
  <c r="CG90" i="6"/>
  <c r="CL90" i="6"/>
  <c r="CM90" i="6"/>
  <c r="CN90" i="6"/>
  <c r="CO90" i="6"/>
  <c r="CP90" i="6"/>
  <c r="CQ90" i="6"/>
  <c r="CS90" i="6"/>
  <c r="CT90" i="6"/>
  <c r="CU90" i="6"/>
  <c r="CV90" i="6"/>
  <c r="CW90" i="6"/>
  <c r="CX90" i="6"/>
  <c r="CY90" i="6"/>
  <c r="CZ90" i="6"/>
  <c r="DA90" i="6"/>
  <c r="DB90" i="6"/>
  <c r="DC90" i="6"/>
  <c r="DD90" i="6"/>
  <c r="DE90" i="6"/>
  <c r="DG90" i="6"/>
  <c r="DH90" i="6"/>
  <c r="DI90" i="6"/>
  <c r="DJ90" i="6"/>
  <c r="DK90" i="6"/>
  <c r="DL90" i="6"/>
  <c r="DM90" i="6"/>
  <c r="DN90" i="6"/>
  <c r="DO90" i="6"/>
  <c r="DP90" i="6"/>
  <c r="DQ90" i="6"/>
  <c r="DR90" i="6"/>
  <c r="DS90" i="6"/>
  <c r="DT90" i="6"/>
  <c r="DU90" i="6"/>
  <c r="DV90" i="6"/>
  <c r="AW91" i="6"/>
  <c r="AX91" i="6"/>
  <c r="AY91" i="6"/>
  <c r="AZ91" i="6"/>
  <c r="BA91" i="6"/>
  <c r="BB91" i="6"/>
  <c r="BC91" i="6"/>
  <c r="BD91" i="6"/>
  <c r="BE91" i="6"/>
  <c r="BF91" i="6"/>
  <c r="BG91" i="6"/>
  <c r="BH91" i="6"/>
  <c r="BI91" i="6"/>
  <c r="BJ91" i="6"/>
  <c r="BK91" i="6"/>
  <c r="BL91" i="6"/>
  <c r="BM91" i="6"/>
  <c r="BN91" i="6"/>
  <c r="BO91" i="6"/>
  <c r="BP91" i="6"/>
  <c r="BR91" i="6"/>
  <c r="BS91" i="6"/>
  <c r="BT91" i="6"/>
  <c r="BU91" i="6"/>
  <c r="BV91" i="6"/>
  <c r="BW91" i="6"/>
  <c r="BX91" i="6"/>
  <c r="BY91" i="6"/>
  <c r="BZ91" i="6"/>
  <c r="CA91" i="6"/>
  <c r="CB91" i="6"/>
  <c r="CC91" i="6"/>
  <c r="CD91" i="6"/>
  <c r="CE91" i="6"/>
  <c r="CF91" i="6"/>
  <c r="CG91" i="6"/>
  <c r="CL91" i="6"/>
  <c r="CM91" i="6"/>
  <c r="CN91" i="6"/>
  <c r="CO91" i="6"/>
  <c r="CP91" i="6"/>
  <c r="CQ91" i="6"/>
  <c r="CS91" i="6"/>
  <c r="CT91" i="6"/>
  <c r="CU91" i="6"/>
  <c r="CV91" i="6"/>
  <c r="CW91" i="6"/>
  <c r="CX91" i="6"/>
  <c r="CY91" i="6"/>
  <c r="CZ91" i="6"/>
  <c r="DA91" i="6"/>
  <c r="DB91" i="6"/>
  <c r="DC91" i="6"/>
  <c r="DD91" i="6"/>
  <c r="DE91" i="6"/>
  <c r="DG91" i="6"/>
  <c r="DH91" i="6"/>
  <c r="DI91" i="6"/>
  <c r="DJ91" i="6"/>
  <c r="DK91" i="6"/>
  <c r="DL91" i="6"/>
  <c r="DM91" i="6"/>
  <c r="DN91" i="6"/>
  <c r="DO91" i="6"/>
  <c r="DP91" i="6"/>
  <c r="DQ91" i="6"/>
  <c r="DR91" i="6"/>
  <c r="DS91" i="6"/>
  <c r="DT91" i="6"/>
  <c r="DU91" i="6"/>
  <c r="DV91" i="6"/>
  <c r="AW92" i="6"/>
  <c r="AX92" i="6"/>
  <c r="AY92" i="6"/>
  <c r="AZ92" i="6"/>
  <c r="BA92" i="6"/>
  <c r="BB92" i="6"/>
  <c r="BC92" i="6"/>
  <c r="BD92" i="6"/>
  <c r="BE92" i="6"/>
  <c r="BF92" i="6"/>
  <c r="BG92" i="6"/>
  <c r="BH92" i="6"/>
  <c r="BI92" i="6"/>
  <c r="BJ92" i="6"/>
  <c r="BK92" i="6"/>
  <c r="BL92" i="6"/>
  <c r="BM92" i="6"/>
  <c r="BN92" i="6"/>
  <c r="BO92" i="6"/>
  <c r="BP92" i="6"/>
  <c r="BR92" i="6"/>
  <c r="BS92" i="6"/>
  <c r="BT92" i="6"/>
  <c r="BU92" i="6"/>
  <c r="BV92" i="6"/>
  <c r="BW92" i="6"/>
  <c r="BX92" i="6"/>
  <c r="BY92" i="6"/>
  <c r="BZ92" i="6"/>
  <c r="CA92" i="6"/>
  <c r="CB92" i="6"/>
  <c r="CC92" i="6"/>
  <c r="CD92" i="6"/>
  <c r="CE92" i="6"/>
  <c r="CF92" i="6"/>
  <c r="CG92" i="6"/>
  <c r="CL92" i="6"/>
  <c r="CM92" i="6"/>
  <c r="CN92" i="6"/>
  <c r="CO92" i="6"/>
  <c r="CP92" i="6"/>
  <c r="CQ92" i="6"/>
  <c r="CS92" i="6"/>
  <c r="CT92" i="6"/>
  <c r="CU92" i="6"/>
  <c r="CV92" i="6"/>
  <c r="CW92" i="6"/>
  <c r="CX92" i="6"/>
  <c r="CY92" i="6"/>
  <c r="CZ92" i="6"/>
  <c r="DA92" i="6"/>
  <c r="DB92" i="6"/>
  <c r="DC92" i="6"/>
  <c r="DD92" i="6"/>
  <c r="DE92" i="6"/>
  <c r="DG92" i="6"/>
  <c r="DH92" i="6"/>
  <c r="DI92" i="6"/>
  <c r="DJ92" i="6"/>
  <c r="DK92" i="6"/>
  <c r="DL92" i="6"/>
  <c r="DM92" i="6"/>
  <c r="DN92" i="6"/>
  <c r="DO92" i="6"/>
  <c r="DP92" i="6"/>
  <c r="DQ92" i="6"/>
  <c r="DR92" i="6"/>
  <c r="DS92" i="6"/>
  <c r="DT92" i="6"/>
  <c r="DU92" i="6"/>
  <c r="DV92" i="6"/>
  <c r="AW93" i="6"/>
  <c r="AX93" i="6"/>
  <c r="AY93" i="6"/>
  <c r="AZ93" i="6"/>
  <c r="BA93" i="6"/>
  <c r="BB93" i="6"/>
  <c r="BC93" i="6"/>
  <c r="BD93" i="6"/>
  <c r="BE93" i="6"/>
  <c r="BF93" i="6"/>
  <c r="BG93" i="6"/>
  <c r="CJ93" i="6" s="1"/>
  <c r="BH93" i="6"/>
  <c r="BI93" i="6"/>
  <c r="BJ93" i="6"/>
  <c r="BK93" i="6"/>
  <c r="BL93" i="6"/>
  <c r="BM93" i="6"/>
  <c r="BN93" i="6"/>
  <c r="BO93" i="6"/>
  <c r="BP93" i="6"/>
  <c r="BR93" i="6"/>
  <c r="BS93" i="6"/>
  <c r="BT93" i="6"/>
  <c r="BU93" i="6"/>
  <c r="BV93" i="6"/>
  <c r="BW93" i="6"/>
  <c r="BX93" i="6"/>
  <c r="BY93" i="6"/>
  <c r="BZ93" i="6"/>
  <c r="CA93" i="6"/>
  <c r="CB93" i="6"/>
  <c r="CC93" i="6"/>
  <c r="CD93" i="6"/>
  <c r="CE93" i="6"/>
  <c r="CF93" i="6"/>
  <c r="CG93" i="6"/>
  <c r="CL93" i="6"/>
  <c r="CM93" i="6"/>
  <c r="CN93" i="6"/>
  <c r="CO93" i="6"/>
  <c r="CP93" i="6"/>
  <c r="CR93" i="6" s="1"/>
  <c r="DX93" i="6" s="1"/>
  <c r="CQ93" i="6"/>
  <c r="CS93" i="6"/>
  <c r="CT93" i="6"/>
  <c r="CU93" i="6"/>
  <c r="CV93" i="6"/>
  <c r="CW93" i="6"/>
  <c r="CX93" i="6"/>
  <c r="CY93" i="6"/>
  <c r="CZ93" i="6"/>
  <c r="DA93" i="6"/>
  <c r="DB93" i="6"/>
  <c r="DC93" i="6"/>
  <c r="DD93" i="6"/>
  <c r="DE93" i="6"/>
  <c r="DG93" i="6"/>
  <c r="DH93" i="6"/>
  <c r="DI93" i="6"/>
  <c r="DJ93" i="6"/>
  <c r="DK93" i="6"/>
  <c r="DL93" i="6"/>
  <c r="DM93" i="6"/>
  <c r="DN93" i="6"/>
  <c r="DO93" i="6"/>
  <c r="DP93" i="6"/>
  <c r="DQ93" i="6"/>
  <c r="DR93" i="6"/>
  <c r="DS93" i="6"/>
  <c r="DT93" i="6"/>
  <c r="DU93" i="6"/>
  <c r="DV93" i="6"/>
  <c r="AW94" i="6"/>
  <c r="AX94" i="6"/>
  <c r="AY94" i="6"/>
  <c r="AZ94" i="6"/>
  <c r="BA94" i="6"/>
  <c r="BB94" i="6"/>
  <c r="BC94" i="6"/>
  <c r="BD94" i="6"/>
  <c r="BE94" i="6"/>
  <c r="BF94" i="6"/>
  <c r="BG94" i="6"/>
  <c r="BH94" i="6"/>
  <c r="BI94" i="6"/>
  <c r="BJ94" i="6"/>
  <c r="BK94" i="6"/>
  <c r="BL94" i="6"/>
  <c r="BM94" i="6"/>
  <c r="BN94" i="6"/>
  <c r="BO94" i="6"/>
  <c r="BP94" i="6"/>
  <c r="BR94" i="6"/>
  <c r="BS94" i="6"/>
  <c r="BT94" i="6"/>
  <c r="BU94" i="6"/>
  <c r="BV94" i="6"/>
  <c r="BW94" i="6"/>
  <c r="BX94" i="6"/>
  <c r="BY94" i="6"/>
  <c r="BZ94" i="6"/>
  <c r="CA94" i="6"/>
  <c r="CB94" i="6"/>
  <c r="CC94" i="6"/>
  <c r="CD94" i="6"/>
  <c r="CE94" i="6"/>
  <c r="CF94" i="6"/>
  <c r="CG94" i="6"/>
  <c r="CL94" i="6"/>
  <c r="CM94" i="6"/>
  <c r="CN94" i="6"/>
  <c r="CO94" i="6"/>
  <c r="CP94" i="6"/>
  <c r="CQ94" i="6"/>
  <c r="CS94" i="6"/>
  <c r="CT94" i="6"/>
  <c r="CU94" i="6"/>
  <c r="CV94" i="6"/>
  <c r="CW94" i="6"/>
  <c r="CX94" i="6"/>
  <c r="CY94" i="6"/>
  <c r="CZ94" i="6"/>
  <c r="DA94" i="6"/>
  <c r="DB94" i="6"/>
  <c r="DC94" i="6"/>
  <c r="DD94" i="6"/>
  <c r="DE94" i="6"/>
  <c r="DG94" i="6"/>
  <c r="DH94" i="6"/>
  <c r="DI94" i="6"/>
  <c r="DJ94" i="6"/>
  <c r="DK94" i="6"/>
  <c r="DL94" i="6"/>
  <c r="DM94" i="6"/>
  <c r="DN94" i="6"/>
  <c r="DO94" i="6"/>
  <c r="DP94" i="6"/>
  <c r="DQ94" i="6"/>
  <c r="DR94" i="6"/>
  <c r="DS94" i="6"/>
  <c r="DT94" i="6"/>
  <c r="DU94" i="6"/>
  <c r="DV94" i="6"/>
  <c r="AW95" i="6"/>
  <c r="AX95" i="6"/>
  <c r="AY95" i="6"/>
  <c r="AZ95" i="6"/>
  <c r="BA95" i="6"/>
  <c r="BB95" i="6"/>
  <c r="BC95" i="6"/>
  <c r="BD95" i="6"/>
  <c r="BE95" i="6"/>
  <c r="BF95" i="6"/>
  <c r="BG95" i="6"/>
  <c r="BH95" i="6"/>
  <c r="BI95" i="6"/>
  <c r="BJ95" i="6"/>
  <c r="BK95" i="6"/>
  <c r="BL95" i="6"/>
  <c r="BM95" i="6"/>
  <c r="BN95" i="6"/>
  <c r="BO95" i="6"/>
  <c r="BP95" i="6"/>
  <c r="BR95" i="6"/>
  <c r="BS95" i="6"/>
  <c r="BT95" i="6"/>
  <c r="BU95" i="6"/>
  <c r="BV95" i="6"/>
  <c r="BW95" i="6"/>
  <c r="BX95" i="6"/>
  <c r="BY95" i="6"/>
  <c r="BZ95" i="6"/>
  <c r="CA95" i="6"/>
  <c r="CB95" i="6"/>
  <c r="CC95" i="6"/>
  <c r="CD95" i="6"/>
  <c r="CE95" i="6"/>
  <c r="CF95" i="6"/>
  <c r="CG95" i="6"/>
  <c r="CL95" i="6"/>
  <c r="CM95" i="6"/>
  <c r="CN95" i="6"/>
  <c r="CO95" i="6"/>
  <c r="CP95" i="6"/>
  <c r="CQ95" i="6"/>
  <c r="CR95" i="6" s="1"/>
  <c r="CS95" i="6"/>
  <c r="CT95" i="6"/>
  <c r="CU95" i="6"/>
  <c r="CV95" i="6"/>
  <c r="CW95" i="6"/>
  <c r="CX95" i="6"/>
  <c r="CY95" i="6"/>
  <c r="CZ95" i="6"/>
  <c r="DA95" i="6"/>
  <c r="DB95" i="6"/>
  <c r="DC95" i="6"/>
  <c r="DD95" i="6"/>
  <c r="DE95" i="6"/>
  <c r="DG95" i="6"/>
  <c r="DH95" i="6"/>
  <c r="DI95" i="6"/>
  <c r="DJ95" i="6"/>
  <c r="DK95" i="6"/>
  <c r="DL95" i="6"/>
  <c r="DM95" i="6"/>
  <c r="DN95" i="6"/>
  <c r="DO95" i="6"/>
  <c r="DP95" i="6"/>
  <c r="DQ95" i="6"/>
  <c r="DR95" i="6"/>
  <c r="DS95" i="6"/>
  <c r="DT95" i="6"/>
  <c r="DU95" i="6"/>
  <c r="DV95" i="6"/>
  <c r="AW96" i="6"/>
  <c r="AX96" i="6"/>
  <c r="AY96" i="6"/>
  <c r="AZ96" i="6"/>
  <c r="BA96" i="6"/>
  <c r="BB96" i="6"/>
  <c r="BC96" i="6"/>
  <c r="BD96" i="6"/>
  <c r="BE96" i="6"/>
  <c r="BF96" i="6"/>
  <c r="BG96" i="6"/>
  <c r="BH96" i="6"/>
  <c r="BI96" i="6"/>
  <c r="BJ96" i="6"/>
  <c r="BK96" i="6"/>
  <c r="BL96" i="6"/>
  <c r="BM96" i="6"/>
  <c r="BN96" i="6"/>
  <c r="BO96" i="6"/>
  <c r="BP96" i="6"/>
  <c r="BR96" i="6"/>
  <c r="BS96" i="6"/>
  <c r="BT96" i="6"/>
  <c r="BU96" i="6"/>
  <c r="BV96" i="6"/>
  <c r="BW96" i="6"/>
  <c r="BX96" i="6"/>
  <c r="BY96" i="6"/>
  <c r="BZ96" i="6"/>
  <c r="CA96" i="6"/>
  <c r="CB96" i="6"/>
  <c r="CC96" i="6"/>
  <c r="CD96" i="6"/>
  <c r="CE96" i="6"/>
  <c r="CF96" i="6"/>
  <c r="CG96" i="6"/>
  <c r="CL96" i="6"/>
  <c r="CM96" i="6"/>
  <c r="CN96" i="6"/>
  <c r="CO96" i="6"/>
  <c r="CP96" i="6"/>
  <c r="CQ96" i="6"/>
  <c r="CS96" i="6"/>
  <c r="CT96" i="6"/>
  <c r="CU96" i="6"/>
  <c r="CV96" i="6"/>
  <c r="CW96" i="6"/>
  <c r="CX96" i="6"/>
  <c r="CY96" i="6"/>
  <c r="CZ96" i="6"/>
  <c r="DA96" i="6"/>
  <c r="DB96" i="6"/>
  <c r="DC96" i="6"/>
  <c r="DD96" i="6"/>
  <c r="DE96" i="6"/>
  <c r="DG96" i="6"/>
  <c r="DH96" i="6"/>
  <c r="DI96" i="6"/>
  <c r="DJ96" i="6"/>
  <c r="DK96" i="6"/>
  <c r="DL96" i="6"/>
  <c r="DM96" i="6"/>
  <c r="DN96" i="6"/>
  <c r="DO96" i="6"/>
  <c r="DP96" i="6"/>
  <c r="DQ96" i="6"/>
  <c r="DR96" i="6"/>
  <c r="DS96" i="6"/>
  <c r="DT96" i="6"/>
  <c r="DU96" i="6"/>
  <c r="DV96" i="6"/>
  <c r="AW97" i="6"/>
  <c r="AX97" i="6"/>
  <c r="AY97" i="6"/>
  <c r="AZ97" i="6"/>
  <c r="BA97" i="6"/>
  <c r="BB97" i="6"/>
  <c r="BC97" i="6"/>
  <c r="BD97" i="6"/>
  <c r="BE97" i="6"/>
  <c r="BF97" i="6"/>
  <c r="BG97" i="6"/>
  <c r="BH97" i="6"/>
  <c r="BI97" i="6"/>
  <c r="BJ97" i="6"/>
  <c r="BK97" i="6"/>
  <c r="BL97" i="6"/>
  <c r="BM97" i="6"/>
  <c r="BN97" i="6"/>
  <c r="BO97" i="6"/>
  <c r="BP97" i="6"/>
  <c r="BR97" i="6"/>
  <c r="BS97" i="6"/>
  <c r="BT97" i="6"/>
  <c r="BU97" i="6"/>
  <c r="BV97" i="6"/>
  <c r="BW97" i="6"/>
  <c r="BX97" i="6"/>
  <c r="BY97" i="6"/>
  <c r="BZ97" i="6"/>
  <c r="CA97" i="6"/>
  <c r="CB97" i="6"/>
  <c r="CC97" i="6"/>
  <c r="CD97" i="6"/>
  <c r="CE97" i="6"/>
  <c r="CF97" i="6"/>
  <c r="CG97" i="6"/>
  <c r="CL97" i="6"/>
  <c r="CM97" i="6"/>
  <c r="CN97" i="6"/>
  <c r="CO97" i="6"/>
  <c r="CP97" i="6"/>
  <c r="CQ97" i="6"/>
  <c r="CS97" i="6"/>
  <c r="CT97" i="6"/>
  <c r="CU97" i="6"/>
  <c r="CV97" i="6"/>
  <c r="CW97" i="6"/>
  <c r="CX97" i="6"/>
  <c r="CY97" i="6"/>
  <c r="CZ97" i="6"/>
  <c r="DA97" i="6"/>
  <c r="DB97" i="6"/>
  <c r="DC97" i="6"/>
  <c r="DD97" i="6"/>
  <c r="DE97" i="6"/>
  <c r="DG97" i="6"/>
  <c r="DH97" i="6"/>
  <c r="DI97" i="6"/>
  <c r="DJ97" i="6"/>
  <c r="DK97" i="6"/>
  <c r="DL97" i="6"/>
  <c r="DM97" i="6"/>
  <c r="DN97" i="6"/>
  <c r="DO97" i="6"/>
  <c r="DP97" i="6"/>
  <c r="DQ97" i="6"/>
  <c r="DR97" i="6"/>
  <c r="DS97" i="6"/>
  <c r="DT97" i="6"/>
  <c r="DU97" i="6"/>
  <c r="DV97" i="6"/>
  <c r="AW98" i="6"/>
  <c r="AX98" i="6"/>
  <c r="AY98" i="6"/>
  <c r="AZ98" i="6"/>
  <c r="BA98" i="6"/>
  <c r="BB98" i="6"/>
  <c r="BC98" i="6"/>
  <c r="BD98" i="6"/>
  <c r="BE98" i="6"/>
  <c r="BF98" i="6"/>
  <c r="BG98" i="6"/>
  <c r="BH98" i="6"/>
  <c r="BI98" i="6"/>
  <c r="BJ98" i="6"/>
  <c r="BK98" i="6"/>
  <c r="BL98" i="6"/>
  <c r="BM98" i="6"/>
  <c r="BN98" i="6"/>
  <c r="BO98" i="6"/>
  <c r="BP98" i="6"/>
  <c r="BR98" i="6"/>
  <c r="BS98" i="6"/>
  <c r="BT98" i="6"/>
  <c r="BU98" i="6"/>
  <c r="BV98" i="6"/>
  <c r="BW98" i="6"/>
  <c r="BX98" i="6"/>
  <c r="BY98" i="6"/>
  <c r="BZ98" i="6"/>
  <c r="CA98" i="6"/>
  <c r="CB98" i="6"/>
  <c r="CC98" i="6"/>
  <c r="CD98" i="6"/>
  <c r="CE98" i="6"/>
  <c r="CF98" i="6"/>
  <c r="CG98" i="6"/>
  <c r="CL98" i="6"/>
  <c r="CM98" i="6"/>
  <c r="CN98" i="6"/>
  <c r="CO98" i="6"/>
  <c r="CP98" i="6"/>
  <c r="CQ98" i="6"/>
  <c r="CS98" i="6"/>
  <c r="CT98" i="6"/>
  <c r="CU98" i="6"/>
  <c r="CV98" i="6"/>
  <c r="CW98" i="6"/>
  <c r="CX98" i="6"/>
  <c r="CY98" i="6"/>
  <c r="CZ98" i="6"/>
  <c r="DA98" i="6"/>
  <c r="DB98" i="6"/>
  <c r="DC98" i="6"/>
  <c r="DD98" i="6"/>
  <c r="DE98" i="6"/>
  <c r="DG98" i="6"/>
  <c r="DH98" i="6"/>
  <c r="DI98" i="6"/>
  <c r="DJ98" i="6"/>
  <c r="DK98" i="6"/>
  <c r="DL98" i="6"/>
  <c r="DM98" i="6"/>
  <c r="DN98" i="6"/>
  <c r="DO98" i="6"/>
  <c r="DP98" i="6"/>
  <c r="DQ98" i="6"/>
  <c r="DR98" i="6"/>
  <c r="DS98" i="6"/>
  <c r="DT98" i="6"/>
  <c r="DU98" i="6"/>
  <c r="DV98" i="6"/>
  <c r="AW99" i="6"/>
  <c r="AX99" i="6"/>
  <c r="CJ99" i="6" s="1"/>
  <c r="AY99" i="6"/>
  <c r="AZ99" i="6"/>
  <c r="BA99" i="6"/>
  <c r="BB99" i="6"/>
  <c r="BC99" i="6"/>
  <c r="BD99" i="6"/>
  <c r="BE99" i="6"/>
  <c r="BF99" i="6"/>
  <c r="BG99" i="6"/>
  <c r="BH99" i="6"/>
  <c r="BI99" i="6"/>
  <c r="BJ99" i="6"/>
  <c r="BK99" i="6"/>
  <c r="BL99" i="6"/>
  <c r="BM99" i="6"/>
  <c r="BN99" i="6"/>
  <c r="BO99" i="6"/>
  <c r="BP99" i="6"/>
  <c r="BR99" i="6"/>
  <c r="BS99" i="6"/>
  <c r="BT99" i="6"/>
  <c r="BU99" i="6"/>
  <c r="BV99" i="6"/>
  <c r="BW99" i="6"/>
  <c r="BX99" i="6"/>
  <c r="BY99" i="6"/>
  <c r="BZ99" i="6"/>
  <c r="CA99" i="6"/>
  <c r="CB99" i="6"/>
  <c r="CC99" i="6"/>
  <c r="CD99" i="6"/>
  <c r="CE99" i="6"/>
  <c r="CF99" i="6"/>
  <c r="CG99" i="6"/>
  <c r="CL99" i="6"/>
  <c r="CM99" i="6"/>
  <c r="CN99" i="6"/>
  <c r="CO99" i="6"/>
  <c r="CP99" i="6"/>
  <c r="CR99" i="6" s="1"/>
  <c r="CQ99" i="6"/>
  <c r="CS99" i="6"/>
  <c r="CT99" i="6"/>
  <c r="CU99" i="6"/>
  <c r="CV99" i="6"/>
  <c r="CW99" i="6"/>
  <c r="CX99" i="6"/>
  <c r="CY99" i="6"/>
  <c r="CZ99" i="6"/>
  <c r="DA99" i="6"/>
  <c r="DB99" i="6"/>
  <c r="DC99" i="6"/>
  <c r="DD99" i="6"/>
  <c r="DE99" i="6"/>
  <c r="DG99" i="6"/>
  <c r="DH99" i="6"/>
  <c r="DI99" i="6"/>
  <c r="DJ99" i="6"/>
  <c r="DK99" i="6"/>
  <c r="DL99" i="6"/>
  <c r="DM99" i="6"/>
  <c r="DN99" i="6"/>
  <c r="DO99" i="6"/>
  <c r="DP99" i="6"/>
  <c r="DQ99" i="6"/>
  <c r="DR99" i="6"/>
  <c r="DS99" i="6"/>
  <c r="DT99" i="6"/>
  <c r="DU99" i="6"/>
  <c r="DV99" i="6"/>
  <c r="AW100" i="6"/>
  <c r="AX100" i="6"/>
  <c r="CJ100" i="6" s="1"/>
  <c r="AY100" i="6"/>
  <c r="AZ100" i="6"/>
  <c r="BA100" i="6"/>
  <c r="BB100" i="6"/>
  <c r="BC100" i="6"/>
  <c r="BD100" i="6"/>
  <c r="BE100" i="6"/>
  <c r="BF100" i="6"/>
  <c r="BG100" i="6"/>
  <c r="BH100" i="6"/>
  <c r="BI100" i="6"/>
  <c r="BJ100" i="6"/>
  <c r="BK100" i="6"/>
  <c r="BL100" i="6"/>
  <c r="BM100" i="6"/>
  <c r="BN100" i="6"/>
  <c r="BO100" i="6"/>
  <c r="BP100" i="6"/>
  <c r="BR100" i="6"/>
  <c r="BS100" i="6"/>
  <c r="BT100" i="6"/>
  <c r="BU100" i="6"/>
  <c r="BV100" i="6"/>
  <c r="BW100" i="6"/>
  <c r="BX100" i="6"/>
  <c r="BY100" i="6"/>
  <c r="BZ100" i="6"/>
  <c r="CA100" i="6"/>
  <c r="CB100" i="6"/>
  <c r="CC100" i="6"/>
  <c r="CD100" i="6"/>
  <c r="CE100" i="6"/>
  <c r="CF100" i="6"/>
  <c r="CG100" i="6"/>
  <c r="CL100" i="6"/>
  <c r="CM100" i="6"/>
  <c r="CN100" i="6"/>
  <c r="CO100" i="6"/>
  <c r="CP100" i="6"/>
  <c r="CR100" i="6" s="1"/>
  <c r="DX100" i="6" s="1"/>
  <c r="CQ100" i="6"/>
  <c r="CS100" i="6"/>
  <c r="CT100" i="6"/>
  <c r="CU100" i="6"/>
  <c r="CV100" i="6"/>
  <c r="CW100" i="6"/>
  <c r="CX100" i="6"/>
  <c r="CY100" i="6"/>
  <c r="CZ100" i="6"/>
  <c r="DA100" i="6"/>
  <c r="DB100" i="6"/>
  <c r="DC100" i="6"/>
  <c r="DD100" i="6"/>
  <c r="DE100" i="6"/>
  <c r="DG100" i="6"/>
  <c r="DH100" i="6"/>
  <c r="DI100" i="6"/>
  <c r="DJ100" i="6"/>
  <c r="DK100" i="6"/>
  <c r="DL100" i="6"/>
  <c r="DM100" i="6"/>
  <c r="DN100" i="6"/>
  <c r="DO100" i="6"/>
  <c r="DP100" i="6"/>
  <c r="DQ100" i="6"/>
  <c r="DR100" i="6"/>
  <c r="DS100" i="6"/>
  <c r="DT100" i="6"/>
  <c r="DU100" i="6"/>
  <c r="DV100" i="6"/>
  <c r="DV77" i="6"/>
  <c r="DU77" i="6"/>
  <c r="DT77" i="6"/>
  <c r="DS77" i="6"/>
  <c r="DR77" i="6"/>
  <c r="DQ77" i="6"/>
  <c r="DP77" i="6"/>
  <c r="DO77" i="6"/>
  <c r="DN77" i="6"/>
  <c r="DM77" i="6"/>
  <c r="DL77" i="6"/>
  <c r="DK77" i="6"/>
  <c r="DJ77" i="6"/>
  <c r="DI77" i="6"/>
  <c r="DH77" i="6"/>
  <c r="DG77" i="6"/>
  <c r="DE77" i="6"/>
  <c r="DD77" i="6"/>
  <c r="DC77" i="6"/>
  <c r="DB77" i="6"/>
  <c r="DA77" i="6"/>
  <c r="CZ77" i="6"/>
  <c r="CY77" i="6"/>
  <c r="CX77" i="6"/>
  <c r="CW77" i="6"/>
  <c r="CV77" i="6"/>
  <c r="CU77" i="6"/>
  <c r="CT77" i="6"/>
  <c r="CS77" i="6"/>
  <c r="CQ77" i="6"/>
  <c r="CP77" i="6"/>
  <c r="CO77" i="6"/>
  <c r="CN77" i="6"/>
  <c r="CM77" i="6"/>
  <c r="CL77" i="6"/>
  <c r="CG77" i="6"/>
  <c r="CF77" i="6"/>
  <c r="CE77" i="6"/>
  <c r="CD77" i="6"/>
  <c r="CC77" i="6"/>
  <c r="CB77" i="6"/>
  <c r="CA77" i="6"/>
  <c r="BZ77" i="6"/>
  <c r="BY77" i="6"/>
  <c r="BX77" i="6"/>
  <c r="BW77" i="6"/>
  <c r="BV77" i="6"/>
  <c r="BU77" i="6"/>
  <c r="BT77" i="6"/>
  <c r="BS77" i="6"/>
  <c r="BR77" i="6"/>
  <c r="BP77" i="6"/>
  <c r="BO77" i="6"/>
  <c r="BN77" i="6"/>
  <c r="BM77" i="6"/>
  <c r="BL77" i="6"/>
  <c r="BK77" i="6"/>
  <c r="BJ77" i="6"/>
  <c r="BI77" i="6"/>
  <c r="BH77" i="6"/>
  <c r="BG77" i="6"/>
  <c r="BF77" i="6"/>
  <c r="BE77" i="6"/>
  <c r="BD77" i="6"/>
  <c r="BC77" i="6"/>
  <c r="BB77" i="6"/>
  <c r="BA77" i="6"/>
  <c r="AZ77" i="6"/>
  <c r="AY77" i="6"/>
  <c r="AX77" i="6"/>
  <c r="AW77" i="6"/>
  <c r="BB68" i="6"/>
  <c r="BB69" i="6"/>
  <c r="BB70" i="6"/>
  <c r="BB71" i="6"/>
  <c r="BB72" i="6"/>
  <c r="BB73" i="6"/>
  <c r="BB74" i="6"/>
  <c r="DV74" i="6"/>
  <c r="DU74" i="6"/>
  <c r="DT74" i="6"/>
  <c r="DS74" i="6"/>
  <c r="DR74" i="6"/>
  <c r="DQ74" i="6"/>
  <c r="DP74" i="6"/>
  <c r="DO74" i="6"/>
  <c r="DN74" i="6"/>
  <c r="DM74" i="6"/>
  <c r="DL74" i="6"/>
  <c r="DK74" i="6"/>
  <c r="DJ74" i="6"/>
  <c r="DI74" i="6"/>
  <c r="DH74" i="6"/>
  <c r="DG74" i="6"/>
  <c r="DE74" i="6"/>
  <c r="DD74" i="6"/>
  <c r="DC74" i="6"/>
  <c r="DB74" i="6"/>
  <c r="DA74" i="6"/>
  <c r="CZ74" i="6"/>
  <c r="CY74" i="6"/>
  <c r="CX74" i="6"/>
  <c r="CW74" i="6"/>
  <c r="CV74" i="6"/>
  <c r="CU74" i="6"/>
  <c r="CT74" i="6"/>
  <c r="CS74" i="6"/>
  <c r="CQ74" i="6"/>
  <c r="CP74" i="6"/>
  <c r="CR74" i="6" s="1"/>
  <c r="DX74" i="6" s="1"/>
  <c r="CO74" i="6"/>
  <c r="CN74" i="6"/>
  <c r="CM74" i="6"/>
  <c r="CL74" i="6"/>
  <c r="CG74" i="6"/>
  <c r="CF74" i="6"/>
  <c r="CE74" i="6"/>
  <c r="CD74" i="6"/>
  <c r="CC74" i="6"/>
  <c r="CB74" i="6"/>
  <c r="CA74" i="6"/>
  <c r="BZ74" i="6"/>
  <c r="BY74" i="6"/>
  <c r="BX74" i="6"/>
  <c r="BW74" i="6"/>
  <c r="BV74" i="6"/>
  <c r="BU74" i="6"/>
  <c r="BT74" i="6"/>
  <c r="BS74" i="6"/>
  <c r="BR74" i="6"/>
  <c r="BP74" i="6"/>
  <c r="BO74" i="6"/>
  <c r="BN74" i="6"/>
  <c r="BM74" i="6"/>
  <c r="BL74" i="6"/>
  <c r="BK74" i="6"/>
  <c r="BJ74" i="6"/>
  <c r="BI74" i="6"/>
  <c r="BH74" i="6"/>
  <c r="BG74" i="6"/>
  <c r="BF74" i="6"/>
  <c r="BE74" i="6"/>
  <c r="BD74" i="6"/>
  <c r="BC74" i="6"/>
  <c r="BA74" i="6"/>
  <c r="AZ74" i="6"/>
  <c r="AY74" i="6"/>
  <c r="AX74" i="6"/>
  <c r="AW74" i="6"/>
  <c r="DV73" i="6"/>
  <c r="DU73" i="6"/>
  <c r="DT73" i="6"/>
  <c r="DS73" i="6"/>
  <c r="DR73" i="6"/>
  <c r="DQ73" i="6"/>
  <c r="DP73" i="6"/>
  <c r="DO73" i="6"/>
  <c r="DN73" i="6"/>
  <c r="DM73" i="6"/>
  <c r="DL73" i="6"/>
  <c r="DK73" i="6"/>
  <c r="DJ73" i="6"/>
  <c r="DI73" i="6"/>
  <c r="DH73" i="6"/>
  <c r="DG73" i="6"/>
  <c r="DE73" i="6"/>
  <c r="DD73" i="6"/>
  <c r="DC73" i="6"/>
  <c r="DB73" i="6"/>
  <c r="DA73" i="6"/>
  <c r="CZ73" i="6"/>
  <c r="CY73" i="6"/>
  <c r="CX73" i="6"/>
  <c r="CW73" i="6"/>
  <c r="CV73" i="6"/>
  <c r="CU73" i="6"/>
  <c r="CT73" i="6"/>
  <c r="CS73" i="6"/>
  <c r="CQ73" i="6"/>
  <c r="CP73" i="6"/>
  <c r="CO73" i="6"/>
  <c r="CN73" i="6"/>
  <c r="CM73" i="6"/>
  <c r="CL73" i="6"/>
  <c r="CG73" i="6"/>
  <c r="CF73" i="6"/>
  <c r="CE73" i="6"/>
  <c r="CD73" i="6"/>
  <c r="CC73" i="6"/>
  <c r="CB73" i="6"/>
  <c r="CA73" i="6"/>
  <c r="BZ73" i="6"/>
  <c r="BY73" i="6"/>
  <c r="BX73" i="6"/>
  <c r="BW73" i="6"/>
  <c r="BV73" i="6"/>
  <c r="BU73" i="6"/>
  <c r="BT73" i="6"/>
  <c r="BS73" i="6"/>
  <c r="BR73" i="6"/>
  <c r="BP73" i="6"/>
  <c r="BO73" i="6"/>
  <c r="BN73" i="6"/>
  <c r="BM73" i="6"/>
  <c r="BL73" i="6"/>
  <c r="BK73" i="6"/>
  <c r="BJ73" i="6"/>
  <c r="BI73" i="6"/>
  <c r="BH73" i="6"/>
  <c r="BG73" i="6"/>
  <c r="BF73" i="6"/>
  <c r="BE73" i="6"/>
  <c r="BD73" i="6"/>
  <c r="BC73" i="6"/>
  <c r="BA73" i="6"/>
  <c r="AZ73" i="6"/>
  <c r="AY73" i="6"/>
  <c r="AX73" i="6"/>
  <c r="AW73" i="6"/>
  <c r="DV72" i="6"/>
  <c r="DU72" i="6"/>
  <c r="DT72" i="6"/>
  <c r="DS72" i="6"/>
  <c r="DR72" i="6"/>
  <c r="DQ72" i="6"/>
  <c r="DP72" i="6"/>
  <c r="DO72" i="6"/>
  <c r="DN72" i="6"/>
  <c r="DM72" i="6"/>
  <c r="DL72" i="6"/>
  <c r="DK72" i="6"/>
  <c r="DJ72" i="6"/>
  <c r="DI72" i="6"/>
  <c r="DH72" i="6"/>
  <c r="DG72" i="6"/>
  <c r="DE72" i="6"/>
  <c r="DD72" i="6"/>
  <c r="DC72" i="6"/>
  <c r="DB72" i="6"/>
  <c r="DA72" i="6"/>
  <c r="CZ72" i="6"/>
  <c r="CY72" i="6"/>
  <c r="CX72" i="6"/>
  <c r="CW72" i="6"/>
  <c r="CV72" i="6"/>
  <c r="CU72" i="6"/>
  <c r="CT72" i="6"/>
  <c r="CS72" i="6"/>
  <c r="CQ72" i="6"/>
  <c r="CP72" i="6"/>
  <c r="CO72" i="6"/>
  <c r="CN72" i="6"/>
  <c r="CM72" i="6"/>
  <c r="CL72" i="6"/>
  <c r="CG72" i="6"/>
  <c r="CF72" i="6"/>
  <c r="CE72" i="6"/>
  <c r="CD72" i="6"/>
  <c r="CC72" i="6"/>
  <c r="CB72" i="6"/>
  <c r="CA72" i="6"/>
  <c r="BZ72" i="6"/>
  <c r="BY72" i="6"/>
  <c r="BX72" i="6"/>
  <c r="BW72" i="6"/>
  <c r="BV72" i="6"/>
  <c r="BU72" i="6"/>
  <c r="BT72" i="6"/>
  <c r="BS72" i="6"/>
  <c r="BR72" i="6"/>
  <c r="BP72" i="6"/>
  <c r="BO72" i="6"/>
  <c r="BN72" i="6"/>
  <c r="BM72" i="6"/>
  <c r="BL72" i="6"/>
  <c r="BK72" i="6"/>
  <c r="BJ72" i="6"/>
  <c r="BI72" i="6"/>
  <c r="BH72" i="6"/>
  <c r="BG72" i="6"/>
  <c r="BF72" i="6"/>
  <c r="BE72" i="6"/>
  <c r="BD72" i="6"/>
  <c r="BC72" i="6"/>
  <c r="BA72" i="6"/>
  <c r="AZ72" i="6"/>
  <c r="AY72" i="6"/>
  <c r="AX72" i="6"/>
  <c r="AW72" i="6"/>
  <c r="DV71" i="6"/>
  <c r="DU71" i="6"/>
  <c r="DT71" i="6"/>
  <c r="DS71" i="6"/>
  <c r="DR71" i="6"/>
  <c r="DQ71" i="6"/>
  <c r="DP71" i="6"/>
  <c r="DO71" i="6"/>
  <c r="DN71" i="6"/>
  <c r="DM71" i="6"/>
  <c r="DL71" i="6"/>
  <c r="DK71" i="6"/>
  <c r="DJ71" i="6"/>
  <c r="DI71" i="6"/>
  <c r="DH71" i="6"/>
  <c r="DG71" i="6"/>
  <c r="DE71" i="6"/>
  <c r="DD71" i="6"/>
  <c r="DC71" i="6"/>
  <c r="DB71" i="6"/>
  <c r="DA71" i="6"/>
  <c r="CZ71" i="6"/>
  <c r="CY71" i="6"/>
  <c r="CX71" i="6"/>
  <c r="CW71" i="6"/>
  <c r="CV71" i="6"/>
  <c r="CU71" i="6"/>
  <c r="CT71" i="6"/>
  <c r="CS71" i="6"/>
  <c r="CQ71" i="6"/>
  <c r="CP71" i="6"/>
  <c r="CO71" i="6"/>
  <c r="CN71" i="6"/>
  <c r="CM71" i="6"/>
  <c r="CL71" i="6"/>
  <c r="CG71" i="6"/>
  <c r="CF71" i="6"/>
  <c r="CE71" i="6"/>
  <c r="CD71" i="6"/>
  <c r="CC71" i="6"/>
  <c r="CB71" i="6"/>
  <c r="CA71" i="6"/>
  <c r="BZ71" i="6"/>
  <c r="BY71" i="6"/>
  <c r="BX71" i="6"/>
  <c r="BW71" i="6"/>
  <c r="BV71" i="6"/>
  <c r="BU71" i="6"/>
  <c r="BT71" i="6"/>
  <c r="BS71" i="6"/>
  <c r="BR71" i="6"/>
  <c r="BP71" i="6"/>
  <c r="BO71" i="6"/>
  <c r="BN71" i="6"/>
  <c r="BM71" i="6"/>
  <c r="BL71" i="6"/>
  <c r="BK71" i="6"/>
  <c r="BJ71" i="6"/>
  <c r="BI71" i="6"/>
  <c r="BH71" i="6"/>
  <c r="BG71" i="6"/>
  <c r="BF71" i="6"/>
  <c r="BE71" i="6"/>
  <c r="BD71" i="6"/>
  <c r="BC71" i="6"/>
  <c r="BA71" i="6"/>
  <c r="AZ71" i="6"/>
  <c r="AY71" i="6"/>
  <c r="AX71" i="6"/>
  <c r="AW71" i="6"/>
  <c r="DV70" i="6"/>
  <c r="DU70" i="6"/>
  <c r="DT70" i="6"/>
  <c r="DS70" i="6"/>
  <c r="DR70" i="6"/>
  <c r="DQ70" i="6"/>
  <c r="DP70" i="6"/>
  <c r="DO70" i="6"/>
  <c r="DN70" i="6"/>
  <c r="DM70" i="6"/>
  <c r="DL70" i="6"/>
  <c r="DK70" i="6"/>
  <c r="DJ70" i="6"/>
  <c r="DI70" i="6"/>
  <c r="DH70" i="6"/>
  <c r="DG70" i="6"/>
  <c r="DE70" i="6"/>
  <c r="DD70" i="6"/>
  <c r="DC70" i="6"/>
  <c r="DB70" i="6"/>
  <c r="DA70" i="6"/>
  <c r="CZ70" i="6"/>
  <c r="CY70" i="6"/>
  <c r="CX70" i="6"/>
  <c r="CW70" i="6"/>
  <c r="CV70" i="6"/>
  <c r="CU70" i="6"/>
  <c r="CT70" i="6"/>
  <c r="CS70" i="6"/>
  <c r="CQ70" i="6"/>
  <c r="CP70" i="6"/>
  <c r="CO70" i="6"/>
  <c r="CN70" i="6"/>
  <c r="CM70" i="6"/>
  <c r="CL70" i="6"/>
  <c r="CG70" i="6"/>
  <c r="CF70" i="6"/>
  <c r="CE70" i="6"/>
  <c r="CD70" i="6"/>
  <c r="CC70" i="6"/>
  <c r="CB70" i="6"/>
  <c r="CA70" i="6"/>
  <c r="BZ70" i="6"/>
  <c r="BY70" i="6"/>
  <c r="BX70" i="6"/>
  <c r="BW70" i="6"/>
  <c r="BV70" i="6"/>
  <c r="BU70" i="6"/>
  <c r="BT70" i="6"/>
  <c r="BS70" i="6"/>
  <c r="BR70" i="6"/>
  <c r="BP70" i="6"/>
  <c r="BO70" i="6"/>
  <c r="BN70" i="6"/>
  <c r="BM70" i="6"/>
  <c r="BL70" i="6"/>
  <c r="BK70" i="6"/>
  <c r="BJ70" i="6"/>
  <c r="BI70" i="6"/>
  <c r="BH70" i="6"/>
  <c r="BG70" i="6"/>
  <c r="BF70" i="6"/>
  <c r="BE70" i="6"/>
  <c r="BD70" i="6"/>
  <c r="BC70" i="6"/>
  <c r="BA70" i="6"/>
  <c r="AZ70" i="6"/>
  <c r="AY70" i="6"/>
  <c r="AX70" i="6"/>
  <c r="AW70" i="6"/>
  <c r="DV69" i="6"/>
  <c r="DU69" i="6"/>
  <c r="DT69" i="6"/>
  <c r="DS69" i="6"/>
  <c r="DR69" i="6"/>
  <c r="DQ69" i="6"/>
  <c r="DP69" i="6"/>
  <c r="DO69" i="6"/>
  <c r="DN69" i="6"/>
  <c r="DM69" i="6"/>
  <c r="DL69" i="6"/>
  <c r="DK69" i="6"/>
  <c r="DJ69" i="6"/>
  <c r="DI69" i="6"/>
  <c r="DH69" i="6"/>
  <c r="DG69" i="6"/>
  <c r="DE69" i="6"/>
  <c r="DD69" i="6"/>
  <c r="DC69" i="6"/>
  <c r="DB69" i="6"/>
  <c r="DA69" i="6"/>
  <c r="CZ69" i="6"/>
  <c r="CY69" i="6"/>
  <c r="CX69" i="6"/>
  <c r="CW69" i="6"/>
  <c r="CV69" i="6"/>
  <c r="CU69" i="6"/>
  <c r="CT69" i="6"/>
  <c r="CS69" i="6"/>
  <c r="CQ69" i="6"/>
  <c r="CP69" i="6"/>
  <c r="CO69" i="6"/>
  <c r="CN69" i="6"/>
  <c r="CM69" i="6"/>
  <c r="CL69" i="6"/>
  <c r="CG69" i="6"/>
  <c r="CF69" i="6"/>
  <c r="CE69" i="6"/>
  <c r="CD69" i="6"/>
  <c r="CC69" i="6"/>
  <c r="CB69" i="6"/>
  <c r="CA69" i="6"/>
  <c r="BZ69" i="6"/>
  <c r="BY69" i="6"/>
  <c r="BX69" i="6"/>
  <c r="BW69" i="6"/>
  <c r="BV69" i="6"/>
  <c r="BU69" i="6"/>
  <c r="BT69" i="6"/>
  <c r="BS69" i="6"/>
  <c r="BR69" i="6"/>
  <c r="BP69" i="6"/>
  <c r="BO69" i="6"/>
  <c r="BN69" i="6"/>
  <c r="BM69" i="6"/>
  <c r="BL69" i="6"/>
  <c r="BK69" i="6"/>
  <c r="BJ69" i="6"/>
  <c r="BI69" i="6"/>
  <c r="BH69" i="6"/>
  <c r="BG69" i="6"/>
  <c r="BF69" i="6"/>
  <c r="BE69" i="6"/>
  <c r="BD69" i="6"/>
  <c r="BC69" i="6"/>
  <c r="BA69" i="6"/>
  <c r="AZ69" i="6"/>
  <c r="AY69" i="6"/>
  <c r="AX69" i="6"/>
  <c r="AW69" i="6"/>
  <c r="DV68" i="6"/>
  <c r="DU68" i="6"/>
  <c r="DT68" i="6"/>
  <c r="DS68" i="6"/>
  <c r="DR68" i="6"/>
  <c r="DQ68" i="6"/>
  <c r="DP68" i="6"/>
  <c r="DO68" i="6"/>
  <c r="DN68" i="6"/>
  <c r="DM68" i="6"/>
  <c r="DL68" i="6"/>
  <c r="DK68" i="6"/>
  <c r="DJ68" i="6"/>
  <c r="DI68" i="6"/>
  <c r="DH68" i="6"/>
  <c r="DG68" i="6"/>
  <c r="DE68" i="6"/>
  <c r="DD68" i="6"/>
  <c r="DC68" i="6"/>
  <c r="DB68" i="6"/>
  <c r="DA68" i="6"/>
  <c r="CZ68" i="6"/>
  <c r="CY68" i="6"/>
  <c r="CX68" i="6"/>
  <c r="CW68" i="6"/>
  <c r="CV68" i="6"/>
  <c r="CU68" i="6"/>
  <c r="CT68" i="6"/>
  <c r="CS68" i="6"/>
  <c r="CQ68" i="6"/>
  <c r="CP68" i="6"/>
  <c r="CR68" i="6" s="1"/>
  <c r="DX68" i="6" s="1"/>
  <c r="CO68" i="6"/>
  <c r="CN68" i="6"/>
  <c r="CM68" i="6"/>
  <c r="CL68" i="6"/>
  <c r="CG68" i="6"/>
  <c r="CF68" i="6"/>
  <c r="CE68" i="6"/>
  <c r="CD68" i="6"/>
  <c r="CC68" i="6"/>
  <c r="CB68" i="6"/>
  <c r="CA68" i="6"/>
  <c r="BZ68" i="6"/>
  <c r="BY68" i="6"/>
  <c r="BX68" i="6"/>
  <c r="BW68" i="6"/>
  <c r="BV68" i="6"/>
  <c r="BU68" i="6"/>
  <c r="BT68" i="6"/>
  <c r="BS68" i="6"/>
  <c r="BR68" i="6"/>
  <c r="BP68" i="6"/>
  <c r="BO68" i="6"/>
  <c r="BN68" i="6"/>
  <c r="BM68" i="6"/>
  <c r="BL68" i="6"/>
  <c r="BK68" i="6"/>
  <c r="BJ68" i="6"/>
  <c r="BI68" i="6"/>
  <c r="BH68" i="6"/>
  <c r="BG68" i="6"/>
  <c r="BF68" i="6"/>
  <c r="BE68" i="6"/>
  <c r="BD68" i="6"/>
  <c r="BC68" i="6"/>
  <c r="BA68" i="6"/>
  <c r="AZ68" i="6"/>
  <c r="AY68" i="6"/>
  <c r="AX68" i="6"/>
  <c r="AW68" i="6"/>
  <c r="DV67" i="6"/>
  <c r="DU67" i="6"/>
  <c r="DT67" i="6"/>
  <c r="DS67" i="6"/>
  <c r="DR67" i="6"/>
  <c r="DQ67" i="6"/>
  <c r="DP67" i="6"/>
  <c r="DO67" i="6"/>
  <c r="DN67" i="6"/>
  <c r="DM67" i="6"/>
  <c r="DL67" i="6"/>
  <c r="DK67" i="6"/>
  <c r="DJ67" i="6"/>
  <c r="DI67" i="6"/>
  <c r="DH67" i="6"/>
  <c r="DG67" i="6"/>
  <c r="DE67" i="6"/>
  <c r="DD67" i="6"/>
  <c r="DC67" i="6"/>
  <c r="DB67" i="6"/>
  <c r="DA67" i="6"/>
  <c r="CZ67" i="6"/>
  <c r="CY67" i="6"/>
  <c r="CX67" i="6"/>
  <c r="CW67" i="6"/>
  <c r="CV67" i="6"/>
  <c r="CU67" i="6"/>
  <c r="CT67" i="6"/>
  <c r="CS67" i="6"/>
  <c r="CQ67" i="6"/>
  <c r="CP67" i="6"/>
  <c r="CO67" i="6"/>
  <c r="CN67" i="6"/>
  <c r="CM67" i="6"/>
  <c r="CL67" i="6"/>
  <c r="CG67" i="6"/>
  <c r="CF67" i="6"/>
  <c r="CE67" i="6"/>
  <c r="CD67" i="6"/>
  <c r="CC67" i="6"/>
  <c r="CB67" i="6"/>
  <c r="CA67" i="6"/>
  <c r="BZ67" i="6"/>
  <c r="BY67" i="6"/>
  <c r="BX67" i="6"/>
  <c r="BW67" i="6"/>
  <c r="BV67" i="6"/>
  <c r="BU67" i="6"/>
  <c r="BT67" i="6"/>
  <c r="BS67" i="6"/>
  <c r="BR67" i="6"/>
  <c r="BP67" i="6"/>
  <c r="BO67" i="6"/>
  <c r="BN67" i="6"/>
  <c r="BM67" i="6"/>
  <c r="BL67" i="6"/>
  <c r="BK67" i="6"/>
  <c r="BJ67" i="6"/>
  <c r="BI67" i="6"/>
  <c r="BH67" i="6"/>
  <c r="BG67" i="6"/>
  <c r="BF67" i="6"/>
  <c r="BE67" i="6"/>
  <c r="BD67" i="6"/>
  <c r="BC67" i="6"/>
  <c r="BB67" i="6"/>
  <c r="BA67" i="6"/>
  <c r="AZ67" i="6"/>
  <c r="AY67" i="6"/>
  <c r="AX67" i="6"/>
  <c r="AW67" i="6"/>
  <c r="AW53" i="6"/>
  <c r="AX53" i="6"/>
  <c r="AY53" i="6"/>
  <c r="AZ53" i="6"/>
  <c r="BA53" i="6"/>
  <c r="BB53" i="6"/>
  <c r="BC53" i="6"/>
  <c r="BD53" i="6"/>
  <c r="BE53" i="6"/>
  <c r="BF53" i="6"/>
  <c r="BG53" i="6"/>
  <c r="BH53" i="6"/>
  <c r="BI53" i="6"/>
  <c r="BJ53" i="6"/>
  <c r="BK53" i="6"/>
  <c r="BL53" i="6"/>
  <c r="BM53" i="6"/>
  <c r="BN53" i="6"/>
  <c r="BO53" i="6"/>
  <c r="BP53" i="6"/>
  <c r="BR53" i="6"/>
  <c r="BS53" i="6"/>
  <c r="BT53" i="6"/>
  <c r="BU53" i="6"/>
  <c r="BV53" i="6"/>
  <c r="BW53" i="6"/>
  <c r="BX53" i="6"/>
  <c r="BY53" i="6"/>
  <c r="BZ53" i="6"/>
  <c r="CA53" i="6"/>
  <c r="CB53" i="6"/>
  <c r="CC53" i="6"/>
  <c r="CD53" i="6"/>
  <c r="CE53" i="6"/>
  <c r="CF53" i="6"/>
  <c r="CG53" i="6"/>
  <c r="CL53" i="6"/>
  <c r="CM53" i="6"/>
  <c r="CN53" i="6"/>
  <c r="CO53" i="6"/>
  <c r="CP53" i="6"/>
  <c r="CR53" i="6" s="1"/>
  <c r="DX53" i="6" s="1"/>
  <c r="CQ53" i="6"/>
  <c r="CS53" i="6"/>
  <c r="CT53" i="6"/>
  <c r="CU53" i="6"/>
  <c r="CV53" i="6"/>
  <c r="CW53" i="6"/>
  <c r="CX53" i="6"/>
  <c r="CY53" i="6"/>
  <c r="CZ53" i="6"/>
  <c r="DA53" i="6"/>
  <c r="DB53" i="6"/>
  <c r="DC53" i="6"/>
  <c r="DD53" i="6"/>
  <c r="DE53" i="6"/>
  <c r="DG53" i="6"/>
  <c r="DH53" i="6"/>
  <c r="DI53" i="6"/>
  <c r="DJ53" i="6"/>
  <c r="DK53" i="6"/>
  <c r="DL53" i="6"/>
  <c r="DM53" i="6"/>
  <c r="DN53" i="6"/>
  <c r="DO53" i="6"/>
  <c r="DP53" i="6"/>
  <c r="DQ53" i="6"/>
  <c r="DR53" i="6"/>
  <c r="DS53" i="6"/>
  <c r="DT53" i="6"/>
  <c r="DU53" i="6"/>
  <c r="DV53" i="6"/>
  <c r="AW54" i="6"/>
  <c r="AX54" i="6"/>
  <c r="AY54" i="6"/>
  <c r="AZ54" i="6"/>
  <c r="BA54" i="6"/>
  <c r="BB54" i="6"/>
  <c r="BC54" i="6"/>
  <c r="BD54" i="6"/>
  <c r="BE54" i="6"/>
  <c r="BF54" i="6"/>
  <c r="BG54" i="6"/>
  <c r="BH54" i="6"/>
  <c r="BI54" i="6"/>
  <c r="BJ54" i="6"/>
  <c r="BK54" i="6"/>
  <c r="BL54" i="6"/>
  <c r="BM54" i="6"/>
  <c r="BN54" i="6"/>
  <c r="BO54" i="6"/>
  <c r="BP54" i="6"/>
  <c r="BR54" i="6"/>
  <c r="BS54" i="6"/>
  <c r="BT54" i="6"/>
  <c r="BU54" i="6"/>
  <c r="BV54" i="6"/>
  <c r="BW54" i="6"/>
  <c r="BX54" i="6"/>
  <c r="BY54" i="6"/>
  <c r="BZ54" i="6"/>
  <c r="CA54" i="6"/>
  <c r="CB54" i="6"/>
  <c r="CC54" i="6"/>
  <c r="CD54" i="6"/>
  <c r="CE54" i="6"/>
  <c r="CF54" i="6"/>
  <c r="CG54" i="6"/>
  <c r="CL54" i="6"/>
  <c r="CM54" i="6"/>
  <c r="CN54" i="6"/>
  <c r="CO54" i="6"/>
  <c r="CP54" i="6"/>
  <c r="CQ54" i="6"/>
  <c r="CR54" i="6" s="1"/>
  <c r="DX54" i="6" s="1"/>
  <c r="CS54" i="6"/>
  <c r="CT54" i="6"/>
  <c r="CU54" i="6"/>
  <c r="CV54" i="6"/>
  <c r="CW54" i="6"/>
  <c r="CX54" i="6"/>
  <c r="CY54" i="6"/>
  <c r="CZ54" i="6"/>
  <c r="DA54" i="6"/>
  <c r="DB54" i="6"/>
  <c r="DC54" i="6"/>
  <c r="DD54" i="6"/>
  <c r="DE54" i="6"/>
  <c r="DG54" i="6"/>
  <c r="DH54" i="6"/>
  <c r="DI54" i="6"/>
  <c r="DJ54" i="6"/>
  <c r="DK54" i="6"/>
  <c r="DL54" i="6"/>
  <c r="DM54" i="6"/>
  <c r="DN54" i="6"/>
  <c r="DO54" i="6"/>
  <c r="DP54" i="6"/>
  <c r="DQ54" i="6"/>
  <c r="DR54" i="6"/>
  <c r="DS54" i="6"/>
  <c r="DT54" i="6"/>
  <c r="DU54" i="6"/>
  <c r="DV54" i="6"/>
  <c r="AW55" i="6"/>
  <c r="AX55" i="6"/>
  <c r="AY55" i="6"/>
  <c r="AZ55" i="6"/>
  <c r="BA55" i="6"/>
  <c r="BB55" i="6"/>
  <c r="BC55" i="6"/>
  <c r="BD55" i="6"/>
  <c r="BE55" i="6"/>
  <c r="BF55" i="6"/>
  <c r="BG55" i="6"/>
  <c r="BH55" i="6"/>
  <c r="BI55" i="6"/>
  <c r="BJ55" i="6"/>
  <c r="BK55" i="6"/>
  <c r="BL55" i="6"/>
  <c r="BM55" i="6"/>
  <c r="BN55" i="6"/>
  <c r="BO55" i="6"/>
  <c r="BP55" i="6"/>
  <c r="BR55" i="6"/>
  <c r="BS55" i="6"/>
  <c r="BT55" i="6"/>
  <c r="BU55" i="6"/>
  <c r="BV55" i="6"/>
  <c r="BW55" i="6"/>
  <c r="BX55" i="6"/>
  <c r="BY55" i="6"/>
  <c r="BZ55" i="6"/>
  <c r="CA55" i="6"/>
  <c r="CB55" i="6"/>
  <c r="CC55" i="6"/>
  <c r="CD55" i="6"/>
  <c r="CE55" i="6"/>
  <c r="CF55" i="6"/>
  <c r="CG55" i="6"/>
  <c r="CL55" i="6"/>
  <c r="CM55" i="6"/>
  <c r="CN55" i="6"/>
  <c r="CO55" i="6"/>
  <c r="CP55" i="6"/>
  <c r="CQ55" i="6"/>
  <c r="CS55" i="6"/>
  <c r="CT55" i="6"/>
  <c r="CU55" i="6"/>
  <c r="CV55" i="6"/>
  <c r="CW55" i="6"/>
  <c r="CX55" i="6"/>
  <c r="CY55" i="6"/>
  <c r="CZ55" i="6"/>
  <c r="DA55" i="6"/>
  <c r="DB55" i="6"/>
  <c r="DC55" i="6"/>
  <c r="DD55" i="6"/>
  <c r="DE55" i="6"/>
  <c r="DG55" i="6"/>
  <c r="DH55" i="6"/>
  <c r="DI55" i="6"/>
  <c r="DJ55" i="6"/>
  <c r="DK55" i="6"/>
  <c r="DL55" i="6"/>
  <c r="DM55" i="6"/>
  <c r="DN55" i="6"/>
  <c r="DO55" i="6"/>
  <c r="DP55" i="6"/>
  <c r="DQ55" i="6"/>
  <c r="DR55" i="6"/>
  <c r="DS55" i="6"/>
  <c r="DT55" i="6"/>
  <c r="DU55" i="6"/>
  <c r="DV55" i="6"/>
  <c r="AW56" i="6"/>
  <c r="AX56" i="6"/>
  <c r="AY56" i="6"/>
  <c r="AZ56" i="6"/>
  <c r="BA56" i="6"/>
  <c r="BB56" i="6"/>
  <c r="BC56" i="6"/>
  <c r="BD56" i="6"/>
  <c r="BE56" i="6"/>
  <c r="BF56" i="6"/>
  <c r="BG56" i="6"/>
  <c r="BH56" i="6"/>
  <c r="BI56" i="6"/>
  <c r="BJ56" i="6"/>
  <c r="BK56" i="6"/>
  <c r="BL56" i="6"/>
  <c r="BM56" i="6"/>
  <c r="BN56" i="6"/>
  <c r="BO56" i="6"/>
  <c r="BP56" i="6"/>
  <c r="BR56" i="6"/>
  <c r="BS56" i="6"/>
  <c r="BT56" i="6"/>
  <c r="BU56" i="6"/>
  <c r="BV56" i="6"/>
  <c r="BW56" i="6"/>
  <c r="BX56" i="6"/>
  <c r="BY56" i="6"/>
  <c r="BZ56" i="6"/>
  <c r="CA56" i="6"/>
  <c r="CB56" i="6"/>
  <c r="CC56" i="6"/>
  <c r="CD56" i="6"/>
  <c r="CE56" i="6"/>
  <c r="CF56" i="6"/>
  <c r="CG56" i="6"/>
  <c r="CL56" i="6"/>
  <c r="CM56" i="6"/>
  <c r="CN56" i="6"/>
  <c r="CO56" i="6"/>
  <c r="CP56" i="6"/>
  <c r="CQ56" i="6"/>
  <c r="CS56" i="6"/>
  <c r="CT56" i="6"/>
  <c r="CU56" i="6"/>
  <c r="CV56" i="6"/>
  <c r="CW56" i="6"/>
  <c r="CX56" i="6"/>
  <c r="CY56" i="6"/>
  <c r="CZ56" i="6"/>
  <c r="DA56" i="6"/>
  <c r="DB56" i="6"/>
  <c r="DC56" i="6"/>
  <c r="DD56" i="6"/>
  <c r="DE56" i="6"/>
  <c r="DG56" i="6"/>
  <c r="DH56" i="6"/>
  <c r="DI56" i="6"/>
  <c r="DJ56" i="6"/>
  <c r="DK56" i="6"/>
  <c r="DL56" i="6"/>
  <c r="DM56" i="6"/>
  <c r="DN56" i="6"/>
  <c r="DO56" i="6"/>
  <c r="DP56" i="6"/>
  <c r="DQ56" i="6"/>
  <c r="DR56" i="6"/>
  <c r="DS56" i="6"/>
  <c r="DT56" i="6"/>
  <c r="DU56" i="6"/>
  <c r="DV56" i="6"/>
  <c r="AW57" i="6"/>
  <c r="AX57" i="6"/>
  <c r="AY57" i="6"/>
  <c r="AZ57" i="6"/>
  <c r="BA57" i="6"/>
  <c r="BB57" i="6"/>
  <c r="BC57" i="6"/>
  <c r="BD57" i="6"/>
  <c r="BE57" i="6"/>
  <c r="BF57" i="6"/>
  <c r="BG57" i="6"/>
  <c r="BH57" i="6"/>
  <c r="BI57" i="6"/>
  <c r="BJ57" i="6"/>
  <c r="BK57" i="6"/>
  <c r="BL57" i="6"/>
  <c r="BM57" i="6"/>
  <c r="BN57" i="6"/>
  <c r="BO57" i="6"/>
  <c r="BP57" i="6"/>
  <c r="BR57" i="6"/>
  <c r="BS57" i="6"/>
  <c r="BT57" i="6"/>
  <c r="BU57" i="6"/>
  <c r="BV57" i="6"/>
  <c r="BW57" i="6"/>
  <c r="BX57" i="6"/>
  <c r="BY57" i="6"/>
  <c r="BZ57" i="6"/>
  <c r="CA57" i="6"/>
  <c r="CB57" i="6"/>
  <c r="CC57" i="6"/>
  <c r="CD57" i="6"/>
  <c r="CE57" i="6"/>
  <c r="CF57" i="6"/>
  <c r="CG57" i="6"/>
  <c r="CL57" i="6"/>
  <c r="CM57" i="6"/>
  <c r="CN57" i="6"/>
  <c r="CO57" i="6"/>
  <c r="CP57" i="6"/>
  <c r="CQ57" i="6"/>
  <c r="CS57" i="6"/>
  <c r="CT57" i="6"/>
  <c r="CU57" i="6"/>
  <c r="CV57" i="6"/>
  <c r="CW57" i="6"/>
  <c r="CX57" i="6"/>
  <c r="CY57" i="6"/>
  <c r="CZ57" i="6"/>
  <c r="DA57" i="6"/>
  <c r="DB57" i="6"/>
  <c r="DC57" i="6"/>
  <c r="DD57" i="6"/>
  <c r="DE57" i="6"/>
  <c r="DG57" i="6"/>
  <c r="DH57" i="6"/>
  <c r="DI57" i="6"/>
  <c r="DJ57" i="6"/>
  <c r="DK57" i="6"/>
  <c r="DL57" i="6"/>
  <c r="DM57" i="6"/>
  <c r="DN57" i="6"/>
  <c r="DO57" i="6"/>
  <c r="DP57" i="6"/>
  <c r="DQ57" i="6"/>
  <c r="DR57" i="6"/>
  <c r="DS57" i="6"/>
  <c r="DT57" i="6"/>
  <c r="DU57" i="6"/>
  <c r="DV57" i="6"/>
  <c r="AW58" i="6"/>
  <c r="AX58" i="6"/>
  <c r="AY58" i="6"/>
  <c r="AZ58" i="6"/>
  <c r="BA58" i="6"/>
  <c r="BB58" i="6"/>
  <c r="BC58" i="6"/>
  <c r="BD58" i="6"/>
  <c r="BE58" i="6"/>
  <c r="BF58" i="6"/>
  <c r="BG58" i="6"/>
  <c r="BH58" i="6"/>
  <c r="BI58" i="6"/>
  <c r="BJ58" i="6"/>
  <c r="BK58" i="6"/>
  <c r="BL58" i="6"/>
  <c r="BM58" i="6"/>
  <c r="BN58" i="6"/>
  <c r="BO58" i="6"/>
  <c r="BP58" i="6"/>
  <c r="BR58" i="6"/>
  <c r="BS58" i="6"/>
  <c r="BT58" i="6"/>
  <c r="BU58" i="6"/>
  <c r="BV58" i="6"/>
  <c r="BW58" i="6"/>
  <c r="BX58" i="6"/>
  <c r="BY58" i="6"/>
  <c r="BZ58" i="6"/>
  <c r="CA58" i="6"/>
  <c r="CB58" i="6"/>
  <c r="CC58" i="6"/>
  <c r="CD58" i="6"/>
  <c r="CE58" i="6"/>
  <c r="CF58" i="6"/>
  <c r="CG58" i="6"/>
  <c r="CL58" i="6"/>
  <c r="CM58" i="6"/>
  <c r="CN58" i="6"/>
  <c r="CO58" i="6"/>
  <c r="CP58" i="6"/>
  <c r="CQ58" i="6"/>
  <c r="CS58" i="6"/>
  <c r="CT58" i="6"/>
  <c r="CU58" i="6"/>
  <c r="CV58" i="6"/>
  <c r="CW58" i="6"/>
  <c r="CX58" i="6"/>
  <c r="CY58" i="6"/>
  <c r="CZ58" i="6"/>
  <c r="DA58" i="6"/>
  <c r="DB58" i="6"/>
  <c r="DC58" i="6"/>
  <c r="DD58" i="6"/>
  <c r="DE58" i="6"/>
  <c r="DG58" i="6"/>
  <c r="DH58" i="6"/>
  <c r="DI58" i="6"/>
  <c r="DJ58" i="6"/>
  <c r="DK58" i="6"/>
  <c r="DL58" i="6"/>
  <c r="DM58" i="6"/>
  <c r="DN58" i="6"/>
  <c r="DO58" i="6"/>
  <c r="DP58" i="6"/>
  <c r="DQ58" i="6"/>
  <c r="DR58" i="6"/>
  <c r="DS58" i="6"/>
  <c r="DT58" i="6"/>
  <c r="DU58" i="6"/>
  <c r="DV58" i="6"/>
  <c r="AW59" i="6"/>
  <c r="AX59" i="6"/>
  <c r="AY59" i="6"/>
  <c r="AZ59" i="6"/>
  <c r="BA59" i="6"/>
  <c r="BB59" i="6"/>
  <c r="BC59" i="6"/>
  <c r="BD59" i="6"/>
  <c r="BE59" i="6"/>
  <c r="BF59" i="6"/>
  <c r="BG59" i="6"/>
  <c r="BH59" i="6"/>
  <c r="BI59" i="6"/>
  <c r="BJ59" i="6"/>
  <c r="BK59" i="6"/>
  <c r="BL59" i="6"/>
  <c r="BM59" i="6"/>
  <c r="BN59" i="6"/>
  <c r="BO59" i="6"/>
  <c r="BP59" i="6"/>
  <c r="BR59" i="6"/>
  <c r="BS59" i="6"/>
  <c r="BT59" i="6"/>
  <c r="BU59" i="6"/>
  <c r="BV59" i="6"/>
  <c r="BW59" i="6"/>
  <c r="BX59" i="6"/>
  <c r="BY59" i="6"/>
  <c r="BZ59" i="6"/>
  <c r="CA59" i="6"/>
  <c r="CB59" i="6"/>
  <c r="CC59" i="6"/>
  <c r="CD59" i="6"/>
  <c r="CE59" i="6"/>
  <c r="CF59" i="6"/>
  <c r="CG59" i="6"/>
  <c r="CL59" i="6"/>
  <c r="CM59" i="6"/>
  <c r="CN59" i="6"/>
  <c r="CO59" i="6"/>
  <c r="CP59" i="6"/>
  <c r="CQ59" i="6"/>
  <c r="CS59" i="6"/>
  <c r="CT59" i="6"/>
  <c r="CU59" i="6"/>
  <c r="CV59" i="6"/>
  <c r="CW59" i="6"/>
  <c r="CX59" i="6"/>
  <c r="CY59" i="6"/>
  <c r="CZ59" i="6"/>
  <c r="DA59" i="6"/>
  <c r="DB59" i="6"/>
  <c r="DC59" i="6"/>
  <c r="DD59" i="6"/>
  <c r="DE59" i="6"/>
  <c r="DG59" i="6"/>
  <c r="DH59" i="6"/>
  <c r="DI59" i="6"/>
  <c r="DJ59" i="6"/>
  <c r="DK59" i="6"/>
  <c r="DL59" i="6"/>
  <c r="DM59" i="6"/>
  <c r="DN59" i="6"/>
  <c r="DO59" i="6"/>
  <c r="DP59" i="6"/>
  <c r="DQ59" i="6"/>
  <c r="DR59" i="6"/>
  <c r="DS59" i="6"/>
  <c r="DT59" i="6"/>
  <c r="DU59" i="6"/>
  <c r="DV59" i="6"/>
  <c r="AW60" i="6"/>
  <c r="AX60" i="6"/>
  <c r="AY60" i="6"/>
  <c r="AZ60" i="6"/>
  <c r="BA60" i="6"/>
  <c r="BB60" i="6"/>
  <c r="BC60" i="6"/>
  <c r="BD60" i="6"/>
  <c r="BE60" i="6"/>
  <c r="BF60" i="6"/>
  <c r="BG60" i="6"/>
  <c r="BH60" i="6"/>
  <c r="BI60" i="6"/>
  <c r="BJ60" i="6"/>
  <c r="BK60" i="6"/>
  <c r="BL60" i="6"/>
  <c r="BM60" i="6"/>
  <c r="BN60" i="6"/>
  <c r="BO60" i="6"/>
  <c r="BP60" i="6"/>
  <c r="BR60" i="6"/>
  <c r="BS60" i="6"/>
  <c r="BT60" i="6"/>
  <c r="BU60" i="6"/>
  <c r="BV60" i="6"/>
  <c r="BW60" i="6"/>
  <c r="BX60" i="6"/>
  <c r="BY60" i="6"/>
  <c r="BZ60" i="6"/>
  <c r="CA60" i="6"/>
  <c r="CB60" i="6"/>
  <c r="CC60" i="6"/>
  <c r="CD60" i="6"/>
  <c r="CE60" i="6"/>
  <c r="CF60" i="6"/>
  <c r="CG60" i="6"/>
  <c r="CL60" i="6"/>
  <c r="CM60" i="6"/>
  <c r="CN60" i="6"/>
  <c r="CO60" i="6"/>
  <c r="CP60" i="6"/>
  <c r="CR60" i="6" s="1"/>
  <c r="DX60" i="6" s="1"/>
  <c r="CQ60" i="6"/>
  <c r="CS60" i="6"/>
  <c r="CT60" i="6"/>
  <c r="CU60" i="6"/>
  <c r="CV60" i="6"/>
  <c r="CW60" i="6"/>
  <c r="CX60" i="6"/>
  <c r="CY60" i="6"/>
  <c r="CZ60" i="6"/>
  <c r="DA60" i="6"/>
  <c r="DB60" i="6"/>
  <c r="DC60" i="6"/>
  <c r="DD60" i="6"/>
  <c r="DE60" i="6"/>
  <c r="DG60" i="6"/>
  <c r="DH60" i="6"/>
  <c r="DI60" i="6"/>
  <c r="DJ60" i="6"/>
  <c r="DK60" i="6"/>
  <c r="DL60" i="6"/>
  <c r="DM60" i="6"/>
  <c r="DN60" i="6"/>
  <c r="DO60" i="6"/>
  <c r="DP60" i="6"/>
  <c r="DQ60" i="6"/>
  <c r="DR60" i="6"/>
  <c r="DS60" i="6"/>
  <c r="DT60" i="6"/>
  <c r="DU60" i="6"/>
  <c r="DV60" i="6"/>
  <c r="AW61" i="6"/>
  <c r="AX61" i="6"/>
  <c r="AY61" i="6"/>
  <c r="AZ61" i="6"/>
  <c r="BA61" i="6"/>
  <c r="BB61" i="6"/>
  <c r="BC61" i="6"/>
  <c r="BD61" i="6"/>
  <c r="BE61" i="6"/>
  <c r="BF61" i="6"/>
  <c r="BG61" i="6"/>
  <c r="BH61" i="6"/>
  <c r="BI61" i="6"/>
  <c r="BJ61" i="6"/>
  <c r="BK61" i="6"/>
  <c r="BL61" i="6"/>
  <c r="BM61" i="6"/>
  <c r="BN61" i="6"/>
  <c r="BO61" i="6"/>
  <c r="BP61" i="6"/>
  <c r="BR61" i="6"/>
  <c r="BS61" i="6"/>
  <c r="BT61" i="6"/>
  <c r="BU61" i="6"/>
  <c r="BV61" i="6"/>
  <c r="BW61" i="6"/>
  <c r="BX61" i="6"/>
  <c r="BY61" i="6"/>
  <c r="BZ61" i="6"/>
  <c r="CA61" i="6"/>
  <c r="CB61" i="6"/>
  <c r="CC61" i="6"/>
  <c r="CD61" i="6"/>
  <c r="CE61" i="6"/>
  <c r="CF61" i="6"/>
  <c r="CG61" i="6"/>
  <c r="CL61" i="6"/>
  <c r="CM61" i="6"/>
  <c r="CN61" i="6"/>
  <c r="CO61" i="6"/>
  <c r="CP61" i="6"/>
  <c r="CQ61" i="6"/>
  <c r="CR61" i="6" s="1"/>
  <c r="DX61" i="6" s="1"/>
  <c r="CS61" i="6"/>
  <c r="CT61" i="6"/>
  <c r="CU61" i="6"/>
  <c r="CV61" i="6"/>
  <c r="CW61" i="6"/>
  <c r="CX61" i="6"/>
  <c r="CY61" i="6"/>
  <c r="CZ61" i="6"/>
  <c r="DA61" i="6"/>
  <c r="DB61" i="6"/>
  <c r="DC61" i="6"/>
  <c r="DD61" i="6"/>
  <c r="DE61" i="6"/>
  <c r="DG61" i="6"/>
  <c r="DH61" i="6"/>
  <c r="DI61" i="6"/>
  <c r="DJ61" i="6"/>
  <c r="DK61" i="6"/>
  <c r="DL61" i="6"/>
  <c r="DM61" i="6"/>
  <c r="DN61" i="6"/>
  <c r="DO61" i="6"/>
  <c r="DP61" i="6"/>
  <c r="DQ61" i="6"/>
  <c r="DR61" i="6"/>
  <c r="DS61" i="6"/>
  <c r="DT61" i="6"/>
  <c r="DU61" i="6"/>
  <c r="DV61" i="6"/>
  <c r="AW62" i="6"/>
  <c r="AX62" i="6"/>
  <c r="AY62" i="6"/>
  <c r="AZ62" i="6"/>
  <c r="BA62" i="6"/>
  <c r="BB62" i="6"/>
  <c r="BC62" i="6"/>
  <c r="BD62" i="6"/>
  <c r="BE62" i="6"/>
  <c r="BF62" i="6"/>
  <c r="BG62" i="6"/>
  <c r="BH62" i="6"/>
  <c r="BI62" i="6"/>
  <c r="BJ62" i="6"/>
  <c r="BK62" i="6"/>
  <c r="BL62" i="6"/>
  <c r="BM62" i="6"/>
  <c r="BN62" i="6"/>
  <c r="BO62" i="6"/>
  <c r="BP62" i="6"/>
  <c r="BR62" i="6"/>
  <c r="BS62" i="6"/>
  <c r="BT62" i="6"/>
  <c r="BU62" i="6"/>
  <c r="BV62" i="6"/>
  <c r="BW62" i="6"/>
  <c r="BX62" i="6"/>
  <c r="BY62" i="6"/>
  <c r="BZ62" i="6"/>
  <c r="CA62" i="6"/>
  <c r="CB62" i="6"/>
  <c r="CC62" i="6"/>
  <c r="CD62" i="6"/>
  <c r="CE62" i="6"/>
  <c r="CF62" i="6"/>
  <c r="CG62" i="6"/>
  <c r="CL62" i="6"/>
  <c r="CM62" i="6"/>
  <c r="CN62" i="6"/>
  <c r="CO62" i="6"/>
  <c r="CP62" i="6"/>
  <c r="CQ62" i="6"/>
  <c r="CS62" i="6"/>
  <c r="CT62" i="6"/>
  <c r="CU62" i="6"/>
  <c r="CV62" i="6"/>
  <c r="CW62" i="6"/>
  <c r="CX62" i="6"/>
  <c r="CY62" i="6"/>
  <c r="CZ62" i="6"/>
  <c r="DA62" i="6"/>
  <c r="DB62" i="6"/>
  <c r="DC62" i="6"/>
  <c r="DD62" i="6"/>
  <c r="DE62" i="6"/>
  <c r="DG62" i="6"/>
  <c r="DH62" i="6"/>
  <c r="DI62" i="6"/>
  <c r="DJ62" i="6"/>
  <c r="DK62" i="6"/>
  <c r="DL62" i="6"/>
  <c r="DM62" i="6"/>
  <c r="DN62" i="6"/>
  <c r="DO62" i="6"/>
  <c r="DP62" i="6"/>
  <c r="DQ62" i="6"/>
  <c r="DR62" i="6"/>
  <c r="DS62" i="6"/>
  <c r="DT62" i="6"/>
  <c r="DU62" i="6"/>
  <c r="DV62" i="6"/>
  <c r="AW63" i="6"/>
  <c r="AX63" i="6"/>
  <c r="AY63" i="6"/>
  <c r="AZ63" i="6"/>
  <c r="BA63" i="6"/>
  <c r="BB63" i="6"/>
  <c r="BC63" i="6"/>
  <c r="BD63" i="6"/>
  <c r="BE63" i="6"/>
  <c r="BF63" i="6"/>
  <c r="BG63" i="6"/>
  <c r="BH63" i="6"/>
  <c r="BI63" i="6"/>
  <c r="BJ63" i="6"/>
  <c r="BK63" i="6"/>
  <c r="BL63" i="6"/>
  <c r="BM63" i="6"/>
  <c r="BN63" i="6"/>
  <c r="BO63" i="6"/>
  <c r="BP63" i="6"/>
  <c r="BR63" i="6"/>
  <c r="BS63" i="6"/>
  <c r="BT63" i="6"/>
  <c r="BU63" i="6"/>
  <c r="BV63" i="6"/>
  <c r="BW63" i="6"/>
  <c r="BX63" i="6"/>
  <c r="BY63" i="6"/>
  <c r="BZ63" i="6"/>
  <c r="CA63" i="6"/>
  <c r="CB63" i="6"/>
  <c r="CC63" i="6"/>
  <c r="CD63" i="6"/>
  <c r="CE63" i="6"/>
  <c r="CF63" i="6"/>
  <c r="CG63" i="6"/>
  <c r="CL63" i="6"/>
  <c r="CM63" i="6"/>
  <c r="CN63" i="6"/>
  <c r="CO63" i="6"/>
  <c r="CP63" i="6"/>
  <c r="CQ63" i="6"/>
  <c r="CS63" i="6"/>
  <c r="CT63" i="6"/>
  <c r="CU63" i="6"/>
  <c r="CV63" i="6"/>
  <c r="CW63" i="6"/>
  <c r="CX63" i="6"/>
  <c r="CY63" i="6"/>
  <c r="CZ63" i="6"/>
  <c r="DA63" i="6"/>
  <c r="DB63" i="6"/>
  <c r="DC63" i="6"/>
  <c r="DD63" i="6"/>
  <c r="DE63" i="6"/>
  <c r="DG63" i="6"/>
  <c r="DH63" i="6"/>
  <c r="DI63" i="6"/>
  <c r="DJ63" i="6"/>
  <c r="DK63" i="6"/>
  <c r="DL63" i="6"/>
  <c r="DM63" i="6"/>
  <c r="DN63" i="6"/>
  <c r="DO63" i="6"/>
  <c r="DP63" i="6"/>
  <c r="DQ63" i="6"/>
  <c r="DR63" i="6"/>
  <c r="DS63" i="6"/>
  <c r="DT63" i="6"/>
  <c r="DU63" i="6"/>
  <c r="DV63" i="6"/>
  <c r="CL2" i="6"/>
  <c r="CM2" i="6"/>
  <c r="CN2" i="6"/>
  <c r="CO2" i="6"/>
  <c r="CP2" i="6"/>
  <c r="CQ2" i="6"/>
  <c r="CS2" i="6"/>
  <c r="CT2" i="6"/>
  <c r="CU2" i="6"/>
  <c r="CV2" i="6"/>
  <c r="CW2" i="6"/>
  <c r="CX2" i="6"/>
  <c r="CY2" i="6"/>
  <c r="CZ2" i="6"/>
  <c r="DA2" i="6"/>
  <c r="DB2" i="6"/>
  <c r="DC2" i="6"/>
  <c r="DD2" i="6"/>
  <c r="DE2" i="6"/>
  <c r="DG2" i="6"/>
  <c r="DH2" i="6"/>
  <c r="DI2" i="6"/>
  <c r="DJ2" i="6"/>
  <c r="DK2" i="6"/>
  <c r="DL2" i="6"/>
  <c r="DM2" i="6"/>
  <c r="DN2" i="6"/>
  <c r="DO2" i="6"/>
  <c r="DP2" i="6"/>
  <c r="DQ2" i="6"/>
  <c r="DR2" i="6"/>
  <c r="DS2" i="6"/>
  <c r="DT2" i="6"/>
  <c r="DU2" i="6"/>
  <c r="DV2" i="6"/>
  <c r="CL3" i="6"/>
  <c r="CM3" i="6"/>
  <c r="CN3" i="6"/>
  <c r="CO3" i="6"/>
  <c r="CP3" i="6"/>
  <c r="CR3" i="6" s="1"/>
  <c r="DX3" i="6" s="1"/>
  <c r="CQ3" i="6"/>
  <c r="CS3" i="6"/>
  <c r="CT3" i="6"/>
  <c r="CU3" i="6"/>
  <c r="CV3" i="6"/>
  <c r="CW3" i="6"/>
  <c r="CX3" i="6"/>
  <c r="CY3" i="6"/>
  <c r="CZ3" i="6"/>
  <c r="DA3" i="6"/>
  <c r="DB3" i="6"/>
  <c r="DC3" i="6"/>
  <c r="DD3" i="6"/>
  <c r="DE3" i="6"/>
  <c r="DG3" i="6"/>
  <c r="DH3" i="6"/>
  <c r="DI3" i="6"/>
  <c r="DJ3" i="6"/>
  <c r="DK3" i="6"/>
  <c r="DL3" i="6"/>
  <c r="DM3" i="6"/>
  <c r="DN3" i="6"/>
  <c r="DO3" i="6"/>
  <c r="DP3" i="6"/>
  <c r="DQ3" i="6"/>
  <c r="DR3" i="6"/>
  <c r="DS3" i="6"/>
  <c r="DT3" i="6"/>
  <c r="DU3" i="6"/>
  <c r="DV3" i="6"/>
  <c r="CL4" i="6"/>
  <c r="CM4" i="6"/>
  <c r="CN4" i="6"/>
  <c r="CO4" i="6"/>
  <c r="CP4" i="6"/>
  <c r="CQ4" i="6"/>
  <c r="CR4" i="6" s="1"/>
  <c r="DX4" i="6" s="1"/>
  <c r="CS4" i="6"/>
  <c r="CT4" i="6"/>
  <c r="CU4" i="6"/>
  <c r="CV4" i="6"/>
  <c r="CW4" i="6"/>
  <c r="CX4" i="6"/>
  <c r="CY4" i="6"/>
  <c r="CZ4" i="6"/>
  <c r="DA4" i="6"/>
  <c r="DB4" i="6"/>
  <c r="DC4" i="6"/>
  <c r="DD4" i="6"/>
  <c r="DE4" i="6"/>
  <c r="DG4" i="6"/>
  <c r="DH4" i="6"/>
  <c r="DI4" i="6"/>
  <c r="DJ4" i="6"/>
  <c r="DK4" i="6"/>
  <c r="DL4" i="6"/>
  <c r="DM4" i="6"/>
  <c r="DN4" i="6"/>
  <c r="DO4" i="6"/>
  <c r="DP4" i="6"/>
  <c r="DQ4" i="6"/>
  <c r="DR4" i="6"/>
  <c r="DS4" i="6"/>
  <c r="DT4" i="6"/>
  <c r="DU4" i="6"/>
  <c r="DV4" i="6"/>
  <c r="CL7" i="6"/>
  <c r="CM7" i="6"/>
  <c r="CN7" i="6"/>
  <c r="CO7" i="6"/>
  <c r="CP7" i="6"/>
  <c r="CQ7" i="6"/>
  <c r="CS7" i="6"/>
  <c r="CT7" i="6"/>
  <c r="CU7" i="6"/>
  <c r="CV7" i="6"/>
  <c r="CW7" i="6"/>
  <c r="CX7" i="6"/>
  <c r="CY7" i="6"/>
  <c r="CZ7" i="6"/>
  <c r="DA7" i="6"/>
  <c r="DB7" i="6"/>
  <c r="DC7" i="6"/>
  <c r="DD7" i="6"/>
  <c r="DE7" i="6"/>
  <c r="DG7" i="6"/>
  <c r="DH7" i="6"/>
  <c r="DI7" i="6"/>
  <c r="DJ7" i="6"/>
  <c r="DK7" i="6"/>
  <c r="DL7" i="6"/>
  <c r="DM7" i="6"/>
  <c r="DN7" i="6"/>
  <c r="DO7" i="6"/>
  <c r="DP7" i="6"/>
  <c r="DQ7" i="6"/>
  <c r="DR7" i="6"/>
  <c r="DS7" i="6"/>
  <c r="DT7" i="6"/>
  <c r="DU7" i="6"/>
  <c r="DV7" i="6"/>
  <c r="CL8" i="6"/>
  <c r="CM8" i="6"/>
  <c r="CN8" i="6"/>
  <c r="CO8" i="6"/>
  <c r="CP8" i="6"/>
  <c r="CQ8" i="6"/>
  <c r="CS8" i="6"/>
  <c r="CT8" i="6"/>
  <c r="CU8" i="6"/>
  <c r="CV8" i="6"/>
  <c r="CW8" i="6"/>
  <c r="CX8" i="6"/>
  <c r="CY8" i="6"/>
  <c r="CZ8" i="6"/>
  <c r="DA8" i="6"/>
  <c r="DB8" i="6"/>
  <c r="DC8" i="6"/>
  <c r="DD8" i="6"/>
  <c r="DE8" i="6"/>
  <c r="DG8" i="6"/>
  <c r="DH8" i="6"/>
  <c r="DI8" i="6"/>
  <c r="DJ8" i="6"/>
  <c r="DK8" i="6"/>
  <c r="DL8" i="6"/>
  <c r="DM8" i="6"/>
  <c r="DN8" i="6"/>
  <c r="DO8" i="6"/>
  <c r="DP8" i="6"/>
  <c r="DQ8" i="6"/>
  <c r="DR8" i="6"/>
  <c r="DS8" i="6"/>
  <c r="DT8" i="6"/>
  <c r="DU8" i="6"/>
  <c r="DV8" i="6"/>
  <c r="CL37" i="6"/>
  <c r="CM37" i="6"/>
  <c r="CN37" i="6"/>
  <c r="CO37" i="6"/>
  <c r="CP37" i="6"/>
  <c r="CQ37" i="6"/>
  <c r="CS37" i="6"/>
  <c r="CT37" i="6"/>
  <c r="CU37" i="6"/>
  <c r="CV37" i="6"/>
  <c r="CW37" i="6"/>
  <c r="CX37" i="6"/>
  <c r="CY37" i="6"/>
  <c r="CZ37" i="6"/>
  <c r="DA37" i="6"/>
  <c r="DB37" i="6"/>
  <c r="DC37" i="6"/>
  <c r="DD37" i="6"/>
  <c r="DE37" i="6"/>
  <c r="DG37" i="6"/>
  <c r="DH37" i="6"/>
  <c r="DI37" i="6"/>
  <c r="DJ37" i="6"/>
  <c r="DK37" i="6"/>
  <c r="DL37" i="6"/>
  <c r="DM37" i="6"/>
  <c r="DN37" i="6"/>
  <c r="DO37" i="6"/>
  <c r="DP37" i="6"/>
  <c r="DQ37" i="6"/>
  <c r="DR37" i="6"/>
  <c r="DS37" i="6"/>
  <c r="DT37" i="6"/>
  <c r="DU37" i="6"/>
  <c r="DV37" i="6"/>
  <c r="CL38" i="6"/>
  <c r="CM38" i="6"/>
  <c r="CN38" i="6"/>
  <c r="CO38" i="6"/>
  <c r="CP38" i="6"/>
  <c r="CQ38" i="6"/>
  <c r="CS38" i="6"/>
  <c r="CT38" i="6"/>
  <c r="CU38" i="6"/>
  <c r="CV38" i="6"/>
  <c r="CW38" i="6"/>
  <c r="CX38" i="6"/>
  <c r="CY38" i="6"/>
  <c r="CZ38" i="6"/>
  <c r="DA38" i="6"/>
  <c r="DB38" i="6"/>
  <c r="DC38" i="6"/>
  <c r="DD38" i="6"/>
  <c r="DE38" i="6"/>
  <c r="DG38" i="6"/>
  <c r="DH38" i="6"/>
  <c r="DI38" i="6"/>
  <c r="DJ38" i="6"/>
  <c r="DK38" i="6"/>
  <c r="DL38" i="6"/>
  <c r="DM38" i="6"/>
  <c r="DN38" i="6"/>
  <c r="DO38" i="6"/>
  <c r="DP38" i="6"/>
  <c r="DQ38" i="6"/>
  <c r="DR38" i="6"/>
  <c r="DS38" i="6"/>
  <c r="DT38" i="6"/>
  <c r="DU38" i="6"/>
  <c r="DV38" i="6"/>
  <c r="CL39" i="6"/>
  <c r="CM39" i="6"/>
  <c r="CN39" i="6"/>
  <c r="CO39" i="6"/>
  <c r="CP39" i="6"/>
  <c r="CQ39" i="6"/>
  <c r="CS39" i="6"/>
  <c r="CT39" i="6"/>
  <c r="CU39" i="6"/>
  <c r="CV39" i="6"/>
  <c r="CW39" i="6"/>
  <c r="CX39" i="6"/>
  <c r="CY39" i="6"/>
  <c r="CZ39" i="6"/>
  <c r="DA39" i="6"/>
  <c r="DB39" i="6"/>
  <c r="DC39" i="6"/>
  <c r="DD39" i="6"/>
  <c r="DE39" i="6"/>
  <c r="DG39" i="6"/>
  <c r="DH39" i="6"/>
  <c r="DI39" i="6"/>
  <c r="DJ39" i="6"/>
  <c r="DK39" i="6"/>
  <c r="DL39" i="6"/>
  <c r="DM39" i="6"/>
  <c r="DN39" i="6"/>
  <c r="DO39" i="6"/>
  <c r="DP39" i="6"/>
  <c r="DQ39" i="6"/>
  <c r="DR39" i="6"/>
  <c r="DS39" i="6"/>
  <c r="DT39" i="6"/>
  <c r="DU39" i="6"/>
  <c r="DV39" i="6"/>
  <c r="CL40" i="6"/>
  <c r="CM40" i="6"/>
  <c r="CN40" i="6"/>
  <c r="CO40" i="6"/>
  <c r="CP40" i="6"/>
  <c r="CR40" i="6" s="1"/>
  <c r="DX40" i="6" s="1"/>
  <c r="CQ40" i="6"/>
  <c r="CS40" i="6"/>
  <c r="CT40" i="6"/>
  <c r="CU40" i="6"/>
  <c r="CV40" i="6"/>
  <c r="CW40" i="6"/>
  <c r="CX40" i="6"/>
  <c r="CY40" i="6"/>
  <c r="CZ40" i="6"/>
  <c r="DA40" i="6"/>
  <c r="DB40" i="6"/>
  <c r="DC40" i="6"/>
  <c r="DD40" i="6"/>
  <c r="DE40" i="6"/>
  <c r="DG40" i="6"/>
  <c r="DH40" i="6"/>
  <c r="DI40" i="6"/>
  <c r="DJ40" i="6"/>
  <c r="DK40" i="6"/>
  <c r="DL40" i="6"/>
  <c r="DM40" i="6"/>
  <c r="DN40" i="6"/>
  <c r="DO40" i="6"/>
  <c r="DP40" i="6"/>
  <c r="DQ40" i="6"/>
  <c r="DR40" i="6"/>
  <c r="DS40" i="6"/>
  <c r="DT40" i="6"/>
  <c r="DU40" i="6"/>
  <c r="DV40" i="6"/>
  <c r="CL41" i="6"/>
  <c r="CM41" i="6"/>
  <c r="CN41" i="6"/>
  <c r="CO41" i="6"/>
  <c r="CP41" i="6"/>
  <c r="CQ41" i="6"/>
  <c r="CR41" i="6" s="1"/>
  <c r="DX41" i="6" s="1"/>
  <c r="CS41" i="6"/>
  <c r="CT41" i="6"/>
  <c r="CU41" i="6"/>
  <c r="CV41" i="6"/>
  <c r="CW41" i="6"/>
  <c r="CX41" i="6"/>
  <c r="CY41" i="6"/>
  <c r="CZ41" i="6"/>
  <c r="DA41" i="6"/>
  <c r="DB41" i="6"/>
  <c r="DC41" i="6"/>
  <c r="DD41" i="6"/>
  <c r="DE41" i="6"/>
  <c r="DG41" i="6"/>
  <c r="DH41" i="6"/>
  <c r="DI41" i="6"/>
  <c r="DJ41" i="6"/>
  <c r="DK41" i="6"/>
  <c r="DL41" i="6"/>
  <c r="DM41" i="6"/>
  <c r="DN41" i="6"/>
  <c r="DO41" i="6"/>
  <c r="DP41" i="6"/>
  <c r="DQ41" i="6"/>
  <c r="DR41" i="6"/>
  <c r="DS41" i="6"/>
  <c r="DT41" i="6"/>
  <c r="DU41" i="6"/>
  <c r="DV41" i="6"/>
  <c r="CL42" i="6"/>
  <c r="CM42" i="6"/>
  <c r="CN42" i="6"/>
  <c r="CO42" i="6"/>
  <c r="CP42" i="6"/>
  <c r="CQ42" i="6"/>
  <c r="CS42" i="6"/>
  <c r="CT42" i="6"/>
  <c r="CU42" i="6"/>
  <c r="CV42" i="6"/>
  <c r="CW42" i="6"/>
  <c r="CX42" i="6"/>
  <c r="CY42" i="6"/>
  <c r="CZ42" i="6"/>
  <c r="DA42" i="6"/>
  <c r="DB42" i="6"/>
  <c r="DC42" i="6"/>
  <c r="DD42" i="6"/>
  <c r="DE42" i="6"/>
  <c r="DG42" i="6"/>
  <c r="DH42" i="6"/>
  <c r="DI42" i="6"/>
  <c r="DJ42" i="6"/>
  <c r="DK42" i="6"/>
  <c r="DL42" i="6"/>
  <c r="DM42" i="6"/>
  <c r="DN42" i="6"/>
  <c r="DO42" i="6"/>
  <c r="DP42" i="6"/>
  <c r="DQ42" i="6"/>
  <c r="DR42" i="6"/>
  <c r="DS42" i="6"/>
  <c r="DT42" i="6"/>
  <c r="DU42" i="6"/>
  <c r="DV42" i="6"/>
  <c r="CL43" i="6"/>
  <c r="CM43" i="6"/>
  <c r="CN43" i="6"/>
  <c r="CO43" i="6"/>
  <c r="CP43" i="6"/>
  <c r="CQ43" i="6"/>
  <c r="CS43" i="6"/>
  <c r="CT43" i="6"/>
  <c r="CU43" i="6"/>
  <c r="CV43" i="6"/>
  <c r="CW43" i="6"/>
  <c r="CX43" i="6"/>
  <c r="CY43" i="6"/>
  <c r="CZ43" i="6"/>
  <c r="DA43" i="6"/>
  <c r="DB43" i="6"/>
  <c r="DC43" i="6"/>
  <c r="DD43" i="6"/>
  <c r="DE43" i="6"/>
  <c r="DG43" i="6"/>
  <c r="DH43" i="6"/>
  <c r="DI43" i="6"/>
  <c r="DJ43" i="6"/>
  <c r="DK43" i="6"/>
  <c r="DL43" i="6"/>
  <c r="DM43" i="6"/>
  <c r="DN43" i="6"/>
  <c r="DO43" i="6"/>
  <c r="DP43" i="6"/>
  <c r="DQ43" i="6"/>
  <c r="DR43" i="6"/>
  <c r="DS43" i="6"/>
  <c r="DT43" i="6"/>
  <c r="DU43" i="6"/>
  <c r="DV43" i="6"/>
  <c r="CL44" i="6"/>
  <c r="CM44" i="6"/>
  <c r="CN44" i="6"/>
  <c r="CO44" i="6"/>
  <c r="CP44" i="6"/>
  <c r="CQ44" i="6"/>
  <c r="CS44" i="6"/>
  <c r="CT44" i="6"/>
  <c r="CU44" i="6"/>
  <c r="CV44" i="6"/>
  <c r="CW44" i="6"/>
  <c r="CX44" i="6"/>
  <c r="CY44" i="6"/>
  <c r="CZ44" i="6"/>
  <c r="DA44" i="6"/>
  <c r="DB44" i="6"/>
  <c r="DC44" i="6"/>
  <c r="DD44" i="6"/>
  <c r="DE44" i="6"/>
  <c r="DG44" i="6"/>
  <c r="DH44" i="6"/>
  <c r="DI44" i="6"/>
  <c r="DJ44" i="6"/>
  <c r="DK44" i="6"/>
  <c r="DL44" i="6"/>
  <c r="DM44" i="6"/>
  <c r="DN44" i="6"/>
  <c r="DO44" i="6"/>
  <c r="DP44" i="6"/>
  <c r="DQ44" i="6"/>
  <c r="DR44" i="6"/>
  <c r="DS44" i="6"/>
  <c r="DT44" i="6"/>
  <c r="DU44" i="6"/>
  <c r="DV44" i="6"/>
  <c r="CL45" i="6"/>
  <c r="CM45" i="6"/>
  <c r="CN45" i="6"/>
  <c r="CO45" i="6"/>
  <c r="CP45" i="6"/>
  <c r="CR45" i="6" s="1"/>
  <c r="DX45" i="6" s="1"/>
  <c r="CQ45" i="6"/>
  <c r="CS45" i="6"/>
  <c r="CT45" i="6"/>
  <c r="CU45" i="6"/>
  <c r="CV45" i="6"/>
  <c r="CW45" i="6"/>
  <c r="CX45" i="6"/>
  <c r="CY45" i="6"/>
  <c r="CZ45" i="6"/>
  <c r="DA45" i="6"/>
  <c r="DB45" i="6"/>
  <c r="DC45" i="6"/>
  <c r="DD45" i="6"/>
  <c r="DE45" i="6"/>
  <c r="DG45" i="6"/>
  <c r="DH45" i="6"/>
  <c r="DI45" i="6"/>
  <c r="DJ45" i="6"/>
  <c r="DK45" i="6"/>
  <c r="DL45" i="6"/>
  <c r="DM45" i="6"/>
  <c r="DN45" i="6"/>
  <c r="DO45" i="6"/>
  <c r="DP45" i="6"/>
  <c r="DQ45" i="6"/>
  <c r="DR45" i="6"/>
  <c r="DS45" i="6"/>
  <c r="DT45" i="6"/>
  <c r="DU45" i="6"/>
  <c r="DV45" i="6"/>
  <c r="CL46" i="6"/>
  <c r="CM46" i="6"/>
  <c r="CN46" i="6"/>
  <c r="CO46" i="6"/>
  <c r="CP46" i="6"/>
  <c r="CQ46" i="6"/>
  <c r="CS46" i="6"/>
  <c r="CT46" i="6"/>
  <c r="CU46" i="6"/>
  <c r="CV46" i="6"/>
  <c r="CW46" i="6"/>
  <c r="CX46" i="6"/>
  <c r="CY46" i="6"/>
  <c r="CZ46" i="6"/>
  <c r="DA46" i="6"/>
  <c r="DB46" i="6"/>
  <c r="DC46" i="6"/>
  <c r="DD46" i="6"/>
  <c r="DE46" i="6"/>
  <c r="DG46" i="6"/>
  <c r="DH46" i="6"/>
  <c r="DI46" i="6"/>
  <c r="DJ46" i="6"/>
  <c r="DK46" i="6"/>
  <c r="DL46" i="6"/>
  <c r="DM46" i="6"/>
  <c r="DN46" i="6"/>
  <c r="DO46" i="6"/>
  <c r="DP46" i="6"/>
  <c r="DQ46" i="6"/>
  <c r="DR46" i="6"/>
  <c r="DS46" i="6"/>
  <c r="DT46" i="6"/>
  <c r="DU46" i="6"/>
  <c r="DV46" i="6"/>
  <c r="CL47" i="6"/>
  <c r="CM47" i="6"/>
  <c r="CN47" i="6"/>
  <c r="CO47" i="6"/>
  <c r="CP47" i="6"/>
  <c r="CQ47" i="6"/>
  <c r="CS47" i="6"/>
  <c r="CT47" i="6"/>
  <c r="CU47" i="6"/>
  <c r="CV47" i="6"/>
  <c r="CW47" i="6"/>
  <c r="CX47" i="6"/>
  <c r="CY47" i="6"/>
  <c r="CZ47" i="6"/>
  <c r="DA47" i="6"/>
  <c r="DB47" i="6"/>
  <c r="DC47" i="6"/>
  <c r="DD47" i="6"/>
  <c r="DE47" i="6"/>
  <c r="DG47" i="6"/>
  <c r="DH47" i="6"/>
  <c r="DI47" i="6"/>
  <c r="DJ47" i="6"/>
  <c r="DK47" i="6"/>
  <c r="DL47" i="6"/>
  <c r="DM47" i="6"/>
  <c r="DN47" i="6"/>
  <c r="DO47" i="6"/>
  <c r="DP47" i="6"/>
  <c r="DQ47" i="6"/>
  <c r="DR47" i="6"/>
  <c r="DS47" i="6"/>
  <c r="DT47" i="6"/>
  <c r="DU47" i="6"/>
  <c r="DV47" i="6"/>
  <c r="CL48" i="6"/>
  <c r="CM48" i="6"/>
  <c r="CN48" i="6"/>
  <c r="CO48" i="6"/>
  <c r="CP48" i="6"/>
  <c r="CQ48" i="6"/>
  <c r="CS48" i="6"/>
  <c r="CT48" i="6"/>
  <c r="CU48" i="6"/>
  <c r="CV48" i="6"/>
  <c r="CW48" i="6"/>
  <c r="CX48" i="6"/>
  <c r="CY48" i="6"/>
  <c r="CZ48" i="6"/>
  <c r="DA48" i="6"/>
  <c r="DB48" i="6"/>
  <c r="DC48" i="6"/>
  <c r="DD48" i="6"/>
  <c r="DE48" i="6"/>
  <c r="DG48" i="6"/>
  <c r="DH48" i="6"/>
  <c r="DI48" i="6"/>
  <c r="DJ48" i="6"/>
  <c r="DK48" i="6"/>
  <c r="DL48" i="6"/>
  <c r="DM48" i="6"/>
  <c r="DN48" i="6"/>
  <c r="DO48" i="6"/>
  <c r="DP48" i="6"/>
  <c r="DQ48" i="6"/>
  <c r="DR48" i="6"/>
  <c r="DS48" i="6"/>
  <c r="DT48" i="6"/>
  <c r="DU48" i="6"/>
  <c r="DV48" i="6"/>
  <c r="CL49" i="6"/>
  <c r="CM49" i="6"/>
  <c r="CN49" i="6"/>
  <c r="CO49" i="6"/>
  <c r="CP49" i="6"/>
  <c r="CQ49" i="6"/>
  <c r="CS49" i="6"/>
  <c r="CT49" i="6"/>
  <c r="CU49" i="6"/>
  <c r="CV49" i="6"/>
  <c r="CW49" i="6"/>
  <c r="CX49" i="6"/>
  <c r="CY49" i="6"/>
  <c r="CZ49" i="6"/>
  <c r="DA49" i="6"/>
  <c r="DB49" i="6"/>
  <c r="DC49" i="6"/>
  <c r="DD49" i="6"/>
  <c r="DE49" i="6"/>
  <c r="DG49" i="6"/>
  <c r="DH49" i="6"/>
  <c r="DI49" i="6"/>
  <c r="DJ49" i="6"/>
  <c r="DK49" i="6"/>
  <c r="DL49" i="6"/>
  <c r="DM49" i="6"/>
  <c r="DN49" i="6"/>
  <c r="DO49" i="6"/>
  <c r="DP49" i="6"/>
  <c r="DQ49" i="6"/>
  <c r="DR49" i="6"/>
  <c r="DS49" i="6"/>
  <c r="DT49" i="6"/>
  <c r="DU49" i="6"/>
  <c r="DV49" i="6"/>
  <c r="CL50" i="6"/>
  <c r="CM50" i="6"/>
  <c r="CN50" i="6"/>
  <c r="CO50" i="6"/>
  <c r="CP50" i="6"/>
  <c r="CQ50" i="6"/>
  <c r="CS50" i="6"/>
  <c r="CT50" i="6"/>
  <c r="CU50" i="6"/>
  <c r="CV50" i="6"/>
  <c r="CW50" i="6"/>
  <c r="CX50" i="6"/>
  <c r="CY50" i="6"/>
  <c r="CZ50" i="6"/>
  <c r="DA50" i="6"/>
  <c r="DB50" i="6"/>
  <c r="DC50" i="6"/>
  <c r="DD50" i="6"/>
  <c r="DE50" i="6"/>
  <c r="DG50" i="6"/>
  <c r="DH50" i="6"/>
  <c r="DI50" i="6"/>
  <c r="DJ50" i="6"/>
  <c r="DK50" i="6"/>
  <c r="DL50" i="6"/>
  <c r="DM50" i="6"/>
  <c r="DN50" i="6"/>
  <c r="DO50" i="6"/>
  <c r="DP50" i="6"/>
  <c r="DQ50" i="6"/>
  <c r="DR50" i="6"/>
  <c r="DS50" i="6"/>
  <c r="DT50" i="6"/>
  <c r="DU50" i="6"/>
  <c r="DV50" i="6"/>
  <c r="DV65" i="6"/>
  <c r="DU65" i="6"/>
  <c r="DT65" i="6"/>
  <c r="DS65" i="6"/>
  <c r="DR65" i="6"/>
  <c r="DQ65" i="6"/>
  <c r="DP65" i="6"/>
  <c r="DO65" i="6"/>
  <c r="DN65" i="6"/>
  <c r="DM65" i="6"/>
  <c r="DL65" i="6"/>
  <c r="DK65" i="6"/>
  <c r="DJ65" i="6"/>
  <c r="DI65" i="6"/>
  <c r="DH65" i="6"/>
  <c r="DG65" i="6"/>
  <c r="DE65" i="6"/>
  <c r="DD65" i="6"/>
  <c r="DC65" i="6"/>
  <c r="DB65" i="6"/>
  <c r="DA65" i="6"/>
  <c r="CY65" i="6"/>
  <c r="CX65" i="6"/>
  <c r="CW65" i="6"/>
  <c r="CV65" i="6"/>
  <c r="CU65" i="6"/>
  <c r="CT65" i="6"/>
  <c r="CS65" i="6"/>
  <c r="CQ65" i="6"/>
  <c r="CP65" i="6"/>
  <c r="CO65" i="6"/>
  <c r="CN65" i="6"/>
  <c r="CM65" i="6"/>
  <c r="CL65" i="6"/>
  <c r="CZ65" i="6"/>
  <c r="CG65" i="6"/>
  <c r="CF65" i="6"/>
  <c r="CE65" i="6"/>
  <c r="CD65" i="6"/>
  <c r="CC65" i="6"/>
  <c r="CB65" i="6"/>
  <c r="CA65" i="6"/>
  <c r="BZ65" i="6"/>
  <c r="BY65" i="6"/>
  <c r="BX65" i="6"/>
  <c r="BW65" i="6"/>
  <c r="BV65" i="6"/>
  <c r="BU65" i="6"/>
  <c r="BT65" i="6"/>
  <c r="BS65" i="6"/>
  <c r="BR65" i="6"/>
  <c r="BP65" i="6"/>
  <c r="BO65" i="6"/>
  <c r="BN65" i="6"/>
  <c r="BM65" i="6"/>
  <c r="BL65" i="6"/>
  <c r="BK65" i="6"/>
  <c r="BJ65" i="6"/>
  <c r="BI65" i="6"/>
  <c r="BH65" i="6"/>
  <c r="BG65" i="6"/>
  <c r="BF65" i="6"/>
  <c r="BE65" i="6"/>
  <c r="BD65" i="6"/>
  <c r="BC65" i="6"/>
  <c r="BB65" i="6"/>
  <c r="BA65" i="6"/>
  <c r="AZ65" i="6"/>
  <c r="AY65" i="6"/>
  <c r="AX65" i="6"/>
  <c r="AW65" i="6"/>
  <c r="CG50" i="6"/>
  <c r="CF50" i="6"/>
  <c r="CE50" i="6"/>
  <c r="CD50" i="6"/>
  <c r="CC50" i="6"/>
  <c r="CB50" i="6"/>
  <c r="CA50" i="6"/>
  <c r="BZ50" i="6"/>
  <c r="BY50" i="6"/>
  <c r="BX50" i="6"/>
  <c r="BW50" i="6"/>
  <c r="BV50" i="6"/>
  <c r="BU50" i="6"/>
  <c r="BT50" i="6"/>
  <c r="BS50" i="6"/>
  <c r="BR50" i="6"/>
  <c r="BP50" i="6"/>
  <c r="BO50" i="6"/>
  <c r="BN50" i="6"/>
  <c r="BM50" i="6"/>
  <c r="BL50" i="6"/>
  <c r="BK50" i="6"/>
  <c r="BJ50" i="6"/>
  <c r="BI50" i="6"/>
  <c r="BH50" i="6"/>
  <c r="BG50" i="6"/>
  <c r="BF50" i="6"/>
  <c r="BE50" i="6"/>
  <c r="BD50" i="6"/>
  <c r="BC50" i="6"/>
  <c r="BB50" i="6"/>
  <c r="BA50" i="6"/>
  <c r="AZ50" i="6"/>
  <c r="AY50" i="6"/>
  <c r="AX50" i="6"/>
  <c r="AW50" i="6"/>
  <c r="CG49" i="6"/>
  <c r="CF49" i="6"/>
  <c r="CE49" i="6"/>
  <c r="CD49" i="6"/>
  <c r="CC49" i="6"/>
  <c r="CB49" i="6"/>
  <c r="CA49" i="6"/>
  <c r="BZ49" i="6"/>
  <c r="BY49" i="6"/>
  <c r="BX49" i="6"/>
  <c r="BW49" i="6"/>
  <c r="BV49" i="6"/>
  <c r="BU49" i="6"/>
  <c r="BT49" i="6"/>
  <c r="BS49" i="6"/>
  <c r="BR49" i="6"/>
  <c r="BP49" i="6"/>
  <c r="BO49" i="6"/>
  <c r="BN49" i="6"/>
  <c r="BM49" i="6"/>
  <c r="BL49" i="6"/>
  <c r="BK49" i="6"/>
  <c r="BJ49" i="6"/>
  <c r="BI49" i="6"/>
  <c r="BH49" i="6"/>
  <c r="BG49" i="6"/>
  <c r="BF49" i="6"/>
  <c r="BE49" i="6"/>
  <c r="BD49" i="6"/>
  <c r="BC49" i="6"/>
  <c r="BB49" i="6"/>
  <c r="BA49" i="6"/>
  <c r="AZ49" i="6"/>
  <c r="AY49" i="6"/>
  <c r="AX49" i="6"/>
  <c r="AW49" i="6"/>
  <c r="CG48" i="6"/>
  <c r="CF48" i="6"/>
  <c r="CE48" i="6"/>
  <c r="CD48" i="6"/>
  <c r="CC48" i="6"/>
  <c r="CB48" i="6"/>
  <c r="CA48" i="6"/>
  <c r="BZ48" i="6"/>
  <c r="BY48" i="6"/>
  <c r="BX48" i="6"/>
  <c r="BW48" i="6"/>
  <c r="BV48" i="6"/>
  <c r="BU48" i="6"/>
  <c r="BT48" i="6"/>
  <c r="BS48" i="6"/>
  <c r="BR48" i="6"/>
  <c r="BP48" i="6"/>
  <c r="BO48" i="6"/>
  <c r="BN48" i="6"/>
  <c r="BM48" i="6"/>
  <c r="BL48" i="6"/>
  <c r="BK48" i="6"/>
  <c r="BJ48" i="6"/>
  <c r="BI48" i="6"/>
  <c r="BH48" i="6"/>
  <c r="BG48" i="6"/>
  <c r="BF48" i="6"/>
  <c r="BE48" i="6"/>
  <c r="BD48" i="6"/>
  <c r="BC48" i="6"/>
  <c r="BB48" i="6"/>
  <c r="BA48" i="6"/>
  <c r="AZ48" i="6"/>
  <c r="AY48" i="6"/>
  <c r="AX48" i="6"/>
  <c r="AW48" i="6"/>
  <c r="CG47" i="6"/>
  <c r="CF47" i="6"/>
  <c r="CE47" i="6"/>
  <c r="CD47" i="6"/>
  <c r="CC47" i="6"/>
  <c r="CB47" i="6"/>
  <c r="CA47" i="6"/>
  <c r="BZ47" i="6"/>
  <c r="BY47" i="6"/>
  <c r="BX47" i="6"/>
  <c r="BW47" i="6"/>
  <c r="BV47" i="6"/>
  <c r="BU47" i="6"/>
  <c r="BT47" i="6"/>
  <c r="BS47" i="6"/>
  <c r="BR47" i="6"/>
  <c r="BP47" i="6"/>
  <c r="BO47" i="6"/>
  <c r="BN47" i="6"/>
  <c r="BM47" i="6"/>
  <c r="BL47" i="6"/>
  <c r="BK47" i="6"/>
  <c r="BJ47" i="6"/>
  <c r="BI47" i="6"/>
  <c r="BH47" i="6"/>
  <c r="BG47" i="6"/>
  <c r="BF47" i="6"/>
  <c r="BE47" i="6"/>
  <c r="BD47" i="6"/>
  <c r="BC47" i="6"/>
  <c r="BB47" i="6"/>
  <c r="BA47" i="6"/>
  <c r="AZ47" i="6"/>
  <c r="AY47" i="6"/>
  <c r="AX47" i="6"/>
  <c r="AW47" i="6"/>
  <c r="CG46" i="6"/>
  <c r="CF46" i="6"/>
  <c r="CE46" i="6"/>
  <c r="CD46" i="6"/>
  <c r="CC46" i="6"/>
  <c r="CB46" i="6"/>
  <c r="CA46" i="6"/>
  <c r="BZ46" i="6"/>
  <c r="BY46" i="6"/>
  <c r="BX46" i="6"/>
  <c r="BW46" i="6"/>
  <c r="BV46" i="6"/>
  <c r="BU46" i="6"/>
  <c r="BT46" i="6"/>
  <c r="BS46" i="6"/>
  <c r="BR46" i="6"/>
  <c r="BP46" i="6"/>
  <c r="BO46" i="6"/>
  <c r="BN46" i="6"/>
  <c r="BM46" i="6"/>
  <c r="BL46" i="6"/>
  <c r="BK46" i="6"/>
  <c r="BJ46" i="6"/>
  <c r="BI46" i="6"/>
  <c r="BH46" i="6"/>
  <c r="BG46" i="6"/>
  <c r="BF46" i="6"/>
  <c r="BE46" i="6"/>
  <c r="BD46" i="6"/>
  <c r="BC46" i="6"/>
  <c r="BB46" i="6"/>
  <c r="BA46" i="6"/>
  <c r="AZ46" i="6"/>
  <c r="AY46" i="6"/>
  <c r="AX46" i="6"/>
  <c r="AW46" i="6"/>
  <c r="CG45" i="6"/>
  <c r="CF45" i="6"/>
  <c r="CE45" i="6"/>
  <c r="CD45" i="6"/>
  <c r="CC45" i="6"/>
  <c r="CB45" i="6"/>
  <c r="CA45" i="6"/>
  <c r="BZ45" i="6"/>
  <c r="BY45" i="6"/>
  <c r="BX45" i="6"/>
  <c r="BW45" i="6"/>
  <c r="BV45" i="6"/>
  <c r="BU45" i="6"/>
  <c r="BT45" i="6"/>
  <c r="BS45" i="6"/>
  <c r="BR45" i="6"/>
  <c r="BP45" i="6"/>
  <c r="BO45" i="6"/>
  <c r="BN45" i="6"/>
  <c r="BM45" i="6"/>
  <c r="BL45" i="6"/>
  <c r="BK45" i="6"/>
  <c r="BJ45" i="6"/>
  <c r="BI45" i="6"/>
  <c r="BH45" i="6"/>
  <c r="BG45" i="6"/>
  <c r="BF45" i="6"/>
  <c r="BE45" i="6"/>
  <c r="BD45" i="6"/>
  <c r="BC45" i="6"/>
  <c r="BB45" i="6"/>
  <c r="BA45" i="6"/>
  <c r="AZ45" i="6"/>
  <c r="AY45" i="6"/>
  <c r="AX45" i="6"/>
  <c r="AW45" i="6"/>
  <c r="CG44" i="6"/>
  <c r="CF44" i="6"/>
  <c r="CE44" i="6"/>
  <c r="CD44" i="6"/>
  <c r="CC44" i="6"/>
  <c r="CB44" i="6"/>
  <c r="CA44" i="6"/>
  <c r="BZ44" i="6"/>
  <c r="BY44" i="6"/>
  <c r="BX44" i="6"/>
  <c r="BW44" i="6"/>
  <c r="BV44" i="6"/>
  <c r="BU44" i="6"/>
  <c r="BT44" i="6"/>
  <c r="BS44" i="6"/>
  <c r="BR44" i="6"/>
  <c r="BP44" i="6"/>
  <c r="BO44" i="6"/>
  <c r="BN44" i="6"/>
  <c r="BM44" i="6"/>
  <c r="BL44" i="6"/>
  <c r="BK44" i="6"/>
  <c r="BJ44" i="6"/>
  <c r="BI44" i="6"/>
  <c r="BH44" i="6"/>
  <c r="BG44" i="6"/>
  <c r="BF44" i="6"/>
  <c r="BE44" i="6"/>
  <c r="BD44" i="6"/>
  <c r="BC44" i="6"/>
  <c r="BB44" i="6"/>
  <c r="BA44" i="6"/>
  <c r="AZ44" i="6"/>
  <c r="AY44" i="6"/>
  <c r="AX44" i="6"/>
  <c r="AW44" i="6"/>
  <c r="BY2" i="6"/>
  <c r="BY3" i="6"/>
  <c r="BY4" i="6"/>
  <c r="BY7" i="6"/>
  <c r="BY8" i="6"/>
  <c r="BY37" i="6"/>
  <c r="BY38" i="6"/>
  <c r="BY39" i="6"/>
  <c r="BY40" i="6"/>
  <c r="BY41" i="6"/>
  <c r="BY42" i="6"/>
  <c r="BY43" i="6"/>
  <c r="AW2" i="6"/>
  <c r="AX2" i="6"/>
  <c r="AY2" i="6"/>
  <c r="AZ2" i="6"/>
  <c r="BA2" i="6"/>
  <c r="BB2" i="6"/>
  <c r="BC2" i="6"/>
  <c r="BD2" i="6"/>
  <c r="BE2" i="6"/>
  <c r="BF2" i="6"/>
  <c r="BG2" i="6"/>
  <c r="BH2" i="6"/>
  <c r="BI2" i="6"/>
  <c r="BJ2" i="6"/>
  <c r="BK2" i="6"/>
  <c r="BL2" i="6"/>
  <c r="BM2" i="6"/>
  <c r="BN2" i="6"/>
  <c r="BO2" i="6"/>
  <c r="BP2" i="6"/>
  <c r="BR2" i="6"/>
  <c r="BS2" i="6"/>
  <c r="BT2" i="6"/>
  <c r="BU2" i="6"/>
  <c r="BV2" i="6"/>
  <c r="BW2" i="6"/>
  <c r="BX2" i="6"/>
  <c r="BZ2" i="6"/>
  <c r="CA2" i="6"/>
  <c r="CB2" i="6"/>
  <c r="CC2" i="6"/>
  <c r="CD2" i="6"/>
  <c r="CE2" i="6"/>
  <c r="CF2" i="6"/>
  <c r="CG2" i="6"/>
  <c r="AW3" i="6"/>
  <c r="AX3" i="6"/>
  <c r="AY3" i="6"/>
  <c r="AZ3" i="6"/>
  <c r="BA3" i="6"/>
  <c r="BB3" i="6"/>
  <c r="BC3" i="6"/>
  <c r="BD3" i="6"/>
  <c r="BE3" i="6"/>
  <c r="BF3" i="6"/>
  <c r="BG3" i="6"/>
  <c r="BH3" i="6"/>
  <c r="BI3" i="6"/>
  <c r="BJ3" i="6"/>
  <c r="BK3" i="6"/>
  <c r="BL3" i="6"/>
  <c r="BM3" i="6"/>
  <c r="BN3" i="6"/>
  <c r="BO3" i="6"/>
  <c r="BP3" i="6"/>
  <c r="BR3" i="6"/>
  <c r="BS3" i="6"/>
  <c r="BT3" i="6"/>
  <c r="BU3" i="6"/>
  <c r="BV3" i="6"/>
  <c r="BW3" i="6"/>
  <c r="BX3" i="6"/>
  <c r="BZ3" i="6"/>
  <c r="CA3" i="6"/>
  <c r="CB3" i="6"/>
  <c r="CC3" i="6"/>
  <c r="CD3" i="6"/>
  <c r="CE3" i="6"/>
  <c r="CF3" i="6"/>
  <c r="CG3" i="6"/>
  <c r="AW4" i="6"/>
  <c r="AX4" i="6"/>
  <c r="AY4" i="6"/>
  <c r="AZ4" i="6"/>
  <c r="BA4" i="6"/>
  <c r="BB4" i="6"/>
  <c r="BC4" i="6"/>
  <c r="BD4" i="6"/>
  <c r="BE4" i="6"/>
  <c r="BF4" i="6"/>
  <c r="BG4" i="6"/>
  <c r="BH4" i="6"/>
  <c r="BI4" i="6"/>
  <c r="BJ4" i="6"/>
  <c r="BK4" i="6"/>
  <c r="BL4" i="6"/>
  <c r="BM4" i="6"/>
  <c r="BN4" i="6"/>
  <c r="BO4" i="6"/>
  <c r="BP4" i="6"/>
  <c r="BR4" i="6"/>
  <c r="BS4" i="6"/>
  <c r="BT4" i="6"/>
  <c r="BU4" i="6"/>
  <c r="BV4" i="6"/>
  <c r="BW4" i="6"/>
  <c r="BX4" i="6"/>
  <c r="BZ4" i="6"/>
  <c r="CA4" i="6"/>
  <c r="CB4" i="6"/>
  <c r="CC4" i="6"/>
  <c r="CD4" i="6"/>
  <c r="CE4" i="6"/>
  <c r="CF4" i="6"/>
  <c r="CG4" i="6"/>
  <c r="AW7" i="6"/>
  <c r="AX7" i="6"/>
  <c r="AY7" i="6"/>
  <c r="AZ7" i="6"/>
  <c r="BA7" i="6"/>
  <c r="BB7" i="6"/>
  <c r="BC7" i="6"/>
  <c r="BD7" i="6"/>
  <c r="BE7" i="6"/>
  <c r="BF7" i="6"/>
  <c r="BG7" i="6"/>
  <c r="BH7" i="6"/>
  <c r="BI7" i="6"/>
  <c r="BJ7" i="6"/>
  <c r="BK7" i="6"/>
  <c r="BL7" i="6"/>
  <c r="BM7" i="6"/>
  <c r="BN7" i="6"/>
  <c r="BO7" i="6"/>
  <c r="BP7" i="6"/>
  <c r="BR7" i="6"/>
  <c r="BS7" i="6"/>
  <c r="BT7" i="6"/>
  <c r="BU7" i="6"/>
  <c r="BV7" i="6"/>
  <c r="BW7" i="6"/>
  <c r="BX7" i="6"/>
  <c r="BZ7" i="6"/>
  <c r="CA7" i="6"/>
  <c r="CB7" i="6"/>
  <c r="CC7" i="6"/>
  <c r="CD7" i="6"/>
  <c r="CE7" i="6"/>
  <c r="CF7" i="6"/>
  <c r="CG7" i="6"/>
  <c r="AW8" i="6"/>
  <c r="AX8" i="6"/>
  <c r="AY8" i="6"/>
  <c r="AZ8" i="6"/>
  <c r="BA8" i="6"/>
  <c r="BB8" i="6"/>
  <c r="BC8" i="6"/>
  <c r="BD8" i="6"/>
  <c r="BE8" i="6"/>
  <c r="BF8" i="6"/>
  <c r="BG8" i="6"/>
  <c r="BH8" i="6"/>
  <c r="BI8" i="6"/>
  <c r="BJ8" i="6"/>
  <c r="BK8" i="6"/>
  <c r="BL8" i="6"/>
  <c r="BM8" i="6"/>
  <c r="BN8" i="6"/>
  <c r="BO8" i="6"/>
  <c r="BP8" i="6"/>
  <c r="BR8" i="6"/>
  <c r="BS8" i="6"/>
  <c r="BT8" i="6"/>
  <c r="BU8" i="6"/>
  <c r="BV8" i="6"/>
  <c r="BW8" i="6"/>
  <c r="BX8" i="6"/>
  <c r="BZ8" i="6"/>
  <c r="CA8" i="6"/>
  <c r="CB8" i="6"/>
  <c r="CC8" i="6"/>
  <c r="CD8" i="6"/>
  <c r="CE8" i="6"/>
  <c r="CF8" i="6"/>
  <c r="CG8" i="6"/>
  <c r="AW37" i="6"/>
  <c r="AX37" i="6"/>
  <c r="AY37" i="6"/>
  <c r="AZ37" i="6"/>
  <c r="BA37" i="6"/>
  <c r="BB37" i="6"/>
  <c r="BC37" i="6"/>
  <c r="BD37" i="6"/>
  <c r="BE37" i="6"/>
  <c r="BF37" i="6"/>
  <c r="BG37" i="6"/>
  <c r="BH37" i="6"/>
  <c r="BI37" i="6"/>
  <c r="BJ37" i="6"/>
  <c r="BK37" i="6"/>
  <c r="BL37" i="6"/>
  <c r="BM37" i="6"/>
  <c r="BN37" i="6"/>
  <c r="BO37" i="6"/>
  <c r="BP37" i="6"/>
  <c r="BR37" i="6"/>
  <c r="BS37" i="6"/>
  <c r="BT37" i="6"/>
  <c r="BU37" i="6"/>
  <c r="BV37" i="6"/>
  <c r="BW37" i="6"/>
  <c r="BX37" i="6"/>
  <c r="BZ37" i="6"/>
  <c r="CA37" i="6"/>
  <c r="CB37" i="6"/>
  <c r="CC37" i="6"/>
  <c r="CD37" i="6"/>
  <c r="CE37" i="6"/>
  <c r="CF37" i="6"/>
  <c r="CG37" i="6"/>
  <c r="AW38" i="6"/>
  <c r="AX38" i="6"/>
  <c r="AY38" i="6"/>
  <c r="AZ38" i="6"/>
  <c r="BA38" i="6"/>
  <c r="BB38" i="6"/>
  <c r="BC38" i="6"/>
  <c r="BD38" i="6"/>
  <c r="BE38" i="6"/>
  <c r="BF38" i="6"/>
  <c r="BG38" i="6"/>
  <c r="BH38" i="6"/>
  <c r="BI38" i="6"/>
  <c r="BJ38" i="6"/>
  <c r="BK38" i="6"/>
  <c r="BL38" i="6"/>
  <c r="BM38" i="6"/>
  <c r="BN38" i="6"/>
  <c r="BO38" i="6"/>
  <c r="BP38" i="6"/>
  <c r="BR38" i="6"/>
  <c r="BS38" i="6"/>
  <c r="BT38" i="6"/>
  <c r="BU38" i="6"/>
  <c r="BV38" i="6"/>
  <c r="BW38" i="6"/>
  <c r="BX38" i="6"/>
  <c r="BZ38" i="6"/>
  <c r="CA38" i="6"/>
  <c r="CB38" i="6"/>
  <c r="CC38" i="6"/>
  <c r="CD38" i="6"/>
  <c r="CE38" i="6"/>
  <c r="CF38" i="6"/>
  <c r="CG38" i="6"/>
  <c r="AW39" i="6"/>
  <c r="AX39" i="6"/>
  <c r="AY39" i="6"/>
  <c r="AZ39" i="6"/>
  <c r="BA39" i="6"/>
  <c r="BB39" i="6"/>
  <c r="BC39" i="6"/>
  <c r="BD39" i="6"/>
  <c r="BE39" i="6"/>
  <c r="BF39" i="6"/>
  <c r="BG39" i="6"/>
  <c r="BH39" i="6"/>
  <c r="BI39" i="6"/>
  <c r="BJ39" i="6"/>
  <c r="BK39" i="6"/>
  <c r="BL39" i="6"/>
  <c r="BM39" i="6"/>
  <c r="BN39" i="6"/>
  <c r="BO39" i="6"/>
  <c r="BP39" i="6"/>
  <c r="BR39" i="6"/>
  <c r="BS39" i="6"/>
  <c r="BT39" i="6"/>
  <c r="BU39" i="6"/>
  <c r="BV39" i="6"/>
  <c r="BW39" i="6"/>
  <c r="BX39" i="6"/>
  <c r="BZ39" i="6"/>
  <c r="CA39" i="6"/>
  <c r="CB39" i="6"/>
  <c r="CC39" i="6"/>
  <c r="CD39" i="6"/>
  <c r="CE39" i="6"/>
  <c r="CF39" i="6"/>
  <c r="CG39" i="6"/>
  <c r="AW40" i="6"/>
  <c r="AX40" i="6"/>
  <c r="AY40" i="6"/>
  <c r="AZ40" i="6"/>
  <c r="BA40" i="6"/>
  <c r="BB40" i="6"/>
  <c r="BC40" i="6"/>
  <c r="BD40" i="6"/>
  <c r="BE40" i="6"/>
  <c r="BF40" i="6"/>
  <c r="BG40" i="6"/>
  <c r="BH40" i="6"/>
  <c r="BI40" i="6"/>
  <c r="BJ40" i="6"/>
  <c r="BK40" i="6"/>
  <c r="BL40" i="6"/>
  <c r="BM40" i="6"/>
  <c r="BN40" i="6"/>
  <c r="BO40" i="6"/>
  <c r="BP40" i="6"/>
  <c r="BR40" i="6"/>
  <c r="BS40" i="6"/>
  <c r="BT40" i="6"/>
  <c r="BU40" i="6"/>
  <c r="BV40" i="6"/>
  <c r="BW40" i="6"/>
  <c r="BX40" i="6"/>
  <c r="BZ40" i="6"/>
  <c r="CA40" i="6"/>
  <c r="CB40" i="6"/>
  <c r="CC40" i="6"/>
  <c r="CD40" i="6"/>
  <c r="CE40" i="6"/>
  <c r="CF40" i="6"/>
  <c r="CG40" i="6"/>
  <c r="AW41" i="6"/>
  <c r="AX41" i="6"/>
  <c r="AY41" i="6"/>
  <c r="AZ41" i="6"/>
  <c r="BA41" i="6"/>
  <c r="BB41" i="6"/>
  <c r="BC41" i="6"/>
  <c r="BD41" i="6"/>
  <c r="BE41" i="6"/>
  <c r="BF41" i="6"/>
  <c r="BG41" i="6"/>
  <c r="BH41" i="6"/>
  <c r="BI41" i="6"/>
  <c r="BJ41" i="6"/>
  <c r="BK41" i="6"/>
  <c r="BL41" i="6"/>
  <c r="BM41" i="6"/>
  <c r="BN41" i="6"/>
  <c r="BO41" i="6"/>
  <c r="BP41" i="6"/>
  <c r="BR41" i="6"/>
  <c r="BS41" i="6"/>
  <c r="BT41" i="6"/>
  <c r="BU41" i="6"/>
  <c r="BV41" i="6"/>
  <c r="BW41" i="6"/>
  <c r="BX41" i="6"/>
  <c r="BZ41" i="6"/>
  <c r="CA41" i="6"/>
  <c r="CB41" i="6"/>
  <c r="CC41" i="6"/>
  <c r="CD41" i="6"/>
  <c r="CE41" i="6"/>
  <c r="CF41" i="6"/>
  <c r="CG41" i="6"/>
  <c r="AW42" i="6"/>
  <c r="AX42" i="6"/>
  <c r="AY42" i="6"/>
  <c r="AZ42" i="6"/>
  <c r="BA42" i="6"/>
  <c r="BB42" i="6"/>
  <c r="BC42" i="6"/>
  <c r="BD42" i="6"/>
  <c r="BE42" i="6"/>
  <c r="BF42" i="6"/>
  <c r="BG42" i="6"/>
  <c r="BH42" i="6"/>
  <c r="BI42" i="6"/>
  <c r="BJ42" i="6"/>
  <c r="BK42" i="6"/>
  <c r="BL42" i="6"/>
  <c r="BM42" i="6"/>
  <c r="BN42" i="6"/>
  <c r="BO42" i="6"/>
  <c r="BP42" i="6"/>
  <c r="BR42" i="6"/>
  <c r="BS42" i="6"/>
  <c r="BT42" i="6"/>
  <c r="BU42" i="6"/>
  <c r="BV42" i="6"/>
  <c r="BW42" i="6"/>
  <c r="BX42" i="6"/>
  <c r="BZ42" i="6"/>
  <c r="CA42" i="6"/>
  <c r="CB42" i="6"/>
  <c r="CC42" i="6"/>
  <c r="CD42" i="6"/>
  <c r="CE42" i="6"/>
  <c r="CF42" i="6"/>
  <c r="CG42" i="6"/>
  <c r="CD43" i="6"/>
  <c r="CC43" i="6"/>
  <c r="CB43" i="6"/>
  <c r="CA43" i="6"/>
  <c r="BZ43" i="6"/>
  <c r="BX43" i="6"/>
  <c r="BW43" i="6"/>
  <c r="BV43" i="6"/>
  <c r="BU43" i="6"/>
  <c r="BT43" i="6"/>
  <c r="BS43" i="6"/>
  <c r="BR43" i="6"/>
  <c r="BP43" i="6"/>
  <c r="BO43" i="6"/>
  <c r="BN43" i="6"/>
  <c r="BM43" i="6"/>
  <c r="BL43" i="6"/>
  <c r="BK43" i="6"/>
  <c r="BJ43" i="6"/>
  <c r="BI43" i="6"/>
  <c r="BH43" i="6"/>
  <c r="BG43" i="6"/>
  <c r="BF43" i="6"/>
  <c r="BE43" i="6"/>
  <c r="BD43" i="6"/>
  <c r="BC43" i="6"/>
  <c r="BB43" i="6"/>
  <c r="BA43" i="6"/>
  <c r="AZ43" i="6"/>
  <c r="AY43" i="6"/>
  <c r="AX43" i="6"/>
  <c r="AW43" i="6"/>
  <c r="CG43" i="6"/>
  <c r="CF43" i="6"/>
  <c r="CE43" i="6"/>
  <c r="G40" i="16"/>
  <c r="G41" i="16"/>
  <c r="G42" i="16"/>
  <c r="G36" i="16"/>
  <c r="G37" i="16"/>
  <c r="G38" i="16"/>
  <c r="G39" i="16"/>
  <c r="G29" i="16"/>
  <c r="G30" i="16"/>
  <c r="G31" i="16"/>
  <c r="G32" i="16"/>
  <c r="G33" i="16"/>
  <c r="G34" i="16"/>
  <c r="G35" i="16"/>
  <c r="G28" i="16"/>
  <c r="G27" i="16"/>
  <c r="AJ36" i="6"/>
  <c r="AH36" i="6"/>
  <c r="DL36" i="6" s="1"/>
  <c r="S36" i="6"/>
  <c r="L36" i="6"/>
  <c r="J36" i="6"/>
  <c r="DX99" i="6"/>
  <c r="CJ89" i="6"/>
  <c r="CR85" i="6"/>
  <c r="DX85" i="6" s="1"/>
  <c r="CJ85" i="6"/>
  <c r="CJ98" i="6"/>
  <c r="CJ94" i="6"/>
  <c r="DX87" i="6"/>
  <c r="DX86" i="6"/>
  <c r="CJ84" i="6"/>
  <c r="CJ90" i="6"/>
  <c r="DX89" i="6"/>
  <c r="CR88" i="6"/>
  <c r="DX88" i="6" s="1"/>
  <c r="CJ86" i="6"/>
  <c r="CJ82" i="6"/>
  <c r="CJ95" i="6"/>
  <c r="CR91" i="6"/>
  <c r="DX91" i="6" s="1"/>
  <c r="CJ91" i="6"/>
  <c r="CJ77" i="6"/>
  <c r="CR92" i="6"/>
  <c r="DX92" i="6" s="1"/>
  <c r="CJ83" i="6"/>
  <c r="CJ78" i="6"/>
  <c r="CJ96" i="6"/>
  <c r="DX95" i="6"/>
  <c r="CJ79" i="6"/>
  <c r="CR96" i="6"/>
  <c r="DX96" i="6" s="1"/>
  <c r="CJ92" i="6"/>
  <c r="CJ88" i="6"/>
  <c r="CR80" i="6"/>
  <c r="DX80" i="6" s="1"/>
  <c r="DX83" i="6"/>
  <c r="CR77" i="6"/>
  <c r="DX77" i="6" s="1"/>
  <c r="CR97" i="6"/>
  <c r="DX97" i="6" s="1"/>
  <c r="CJ97" i="6"/>
  <c r="CR84" i="6"/>
  <c r="DX84" i="6" s="1"/>
  <c r="CJ80" i="6"/>
  <c r="CR56" i="6"/>
  <c r="DX56" i="6" s="1"/>
  <c r="CR58" i="6"/>
  <c r="CR46" i="6"/>
  <c r="DX46" i="6" s="1"/>
  <c r="CR67" i="6"/>
  <c r="DX67" i="6" s="1"/>
  <c r="CJ74" i="6"/>
  <c r="CR55" i="6"/>
  <c r="DX55" i="6" s="1"/>
  <c r="CR59" i="6"/>
  <c r="DX59" i="6" s="1"/>
  <c r="CR69" i="6"/>
  <c r="DX69" i="6" s="1"/>
  <c r="CJ54" i="6"/>
  <c r="DX58" i="6"/>
  <c r="CR57" i="6"/>
  <c r="CJ55" i="6"/>
  <c r="CJ60" i="6"/>
  <c r="CJ57" i="6"/>
  <c r="CJ53" i="6"/>
  <c r="CJ65" i="6"/>
  <c r="CR62" i="6"/>
  <c r="DX62" i="6" s="1"/>
  <c r="CJ56" i="6"/>
  <c r="CR63" i="6"/>
  <c r="DX63" i="6" s="1"/>
  <c r="CJ61" i="6"/>
  <c r="CJ63" i="6"/>
  <c r="CJ59" i="6"/>
  <c r="CJ58" i="6"/>
  <c r="CR71" i="6"/>
  <c r="DX71" i="6" s="1"/>
  <c r="CJ62" i="6"/>
  <c r="CR70" i="6"/>
  <c r="DX70" i="6" s="1"/>
  <c r="CJ73" i="6"/>
  <c r="CJ72" i="6"/>
  <c r="CJ70" i="6"/>
  <c r="CJ71" i="6"/>
  <c r="CJ69" i="6"/>
  <c r="CR73" i="6"/>
  <c r="DX73" i="6" s="1"/>
  <c r="CJ67" i="6"/>
  <c r="CJ68" i="6"/>
  <c r="DX57" i="6"/>
  <c r="CR49" i="6"/>
  <c r="CR37" i="6"/>
  <c r="CR2" i="6"/>
  <c r="DX2" i="6" s="1"/>
  <c r="CR7" i="6"/>
  <c r="DX7" i="6" s="1"/>
  <c r="CR39" i="6"/>
  <c r="DX39" i="6" s="1"/>
  <c r="CX36" i="6"/>
  <c r="CD36" i="6"/>
  <c r="BC36" i="6"/>
  <c r="DN36" i="6"/>
  <c r="BK36" i="6"/>
  <c r="BV36" i="6"/>
  <c r="DB36" i="6"/>
  <c r="CS36" i="6"/>
  <c r="DS36" i="6"/>
  <c r="CW36" i="6"/>
  <c r="CY36" i="6"/>
  <c r="CR8" i="6"/>
  <c r="DX8" i="6" s="1"/>
  <c r="CR42" i="6"/>
  <c r="DX42" i="6" s="1"/>
  <c r="CR43" i="6"/>
  <c r="DX43" i="6" s="1"/>
  <c r="CR44" i="6"/>
  <c r="DX44" i="6" s="1"/>
  <c r="CR47" i="6"/>
  <c r="DX47" i="6" s="1"/>
  <c r="CR48" i="6"/>
  <c r="DX48" i="6" s="1"/>
  <c r="DX37" i="6"/>
  <c r="CR50" i="6"/>
  <c r="DX50" i="6" s="1"/>
  <c r="CR38" i="6"/>
  <c r="DX38" i="6" s="1"/>
  <c r="CR65" i="6"/>
  <c r="DX65" i="6" s="1"/>
  <c r="DX49" i="6"/>
  <c r="DD36" i="6" l="1"/>
  <c r="BR36" i="6"/>
  <c r="DM36" i="6"/>
  <c r="CZ36" i="6"/>
  <c r="CP36" i="6"/>
  <c r="BN36" i="6"/>
  <c r="CM36" i="6"/>
  <c r="CU36" i="6"/>
  <c r="DO36" i="6"/>
  <c r="AY36" i="6"/>
  <c r="CB36" i="6"/>
  <c r="CF36" i="6"/>
  <c r="CR90" i="6"/>
  <c r="DX90" i="6" s="1"/>
  <c r="CL36" i="6"/>
  <c r="BX36" i="6"/>
  <c r="DK36" i="6"/>
  <c r="CT36" i="6"/>
  <c r="DA36" i="6"/>
  <c r="AZ36" i="6"/>
  <c r="CC36" i="6"/>
  <c r="BT36" i="6"/>
  <c r="CR78" i="6"/>
  <c r="DX78" i="6" s="1"/>
  <c r="CO36" i="6"/>
  <c r="BG36" i="6"/>
  <c r="DV36" i="6"/>
  <c r="DR36" i="6"/>
  <c r="CN36" i="6"/>
  <c r="BL36" i="6"/>
  <c r="BD36" i="6"/>
  <c r="CG36" i="6"/>
  <c r="DG36" i="6"/>
  <c r="BO36" i="6"/>
  <c r="DJ36" i="6"/>
  <c r="DE36" i="6"/>
  <c r="BI36" i="6"/>
  <c r="BZ36" i="6"/>
  <c r="BP36" i="6"/>
  <c r="CQ36" i="6"/>
  <c r="CR72" i="6"/>
  <c r="DX72" i="6" s="1"/>
  <c r="CR79" i="6"/>
  <c r="DX79" i="6" s="1"/>
  <c r="DU36" i="6"/>
  <c r="DQ36" i="6"/>
  <c r="BA36" i="6"/>
  <c r="BE36" i="6"/>
  <c r="AW36" i="6"/>
  <c r="CR94" i="6"/>
  <c r="DX94" i="6" s="1"/>
  <c r="CR82" i="6"/>
  <c r="DX82" i="6" s="1"/>
  <c r="BM36" i="6"/>
  <c r="BU36" i="6"/>
  <c r="CV36" i="6"/>
  <c r="DP36" i="6"/>
  <c r="BJ36" i="6"/>
  <c r="CA36" i="6"/>
  <c r="CE36" i="6"/>
  <c r="BH36" i="6"/>
  <c r="AX36" i="6"/>
  <c r="DT36" i="6"/>
  <c r="DC36" i="6"/>
  <c r="BW36" i="6"/>
  <c r="BB36" i="6"/>
  <c r="BF36" i="6"/>
  <c r="DI36" i="6"/>
  <c r="DH36" i="6"/>
  <c r="BY36" i="6"/>
  <c r="BS36" i="6"/>
  <c r="CR98" i="6"/>
  <c r="DX98" i="6" s="1"/>
  <c r="CR36" i="6"/>
  <c r="DX36" i="6" s="1"/>
  <c r="AC5" i="15" l="1"/>
  <c r="AB2" i="1"/>
  <c r="AK2" i="1" s="1"/>
  <c r="AC2" i="1"/>
  <c r="AB3" i="1"/>
  <c r="AK3" i="1" s="1"/>
  <c r="AC3" i="1"/>
  <c r="AB4" i="1"/>
  <c r="AC4" i="1"/>
  <c r="AE5" i="15" l="1"/>
  <c r="BA5" i="15"/>
  <c r="BO5" i="15" s="1"/>
  <c r="BU6" i="15"/>
  <c r="BP6" i="15"/>
  <c r="BN6" i="15"/>
  <c r="BM6" i="15"/>
  <c r="BD6" i="15"/>
  <c r="BR6" i="15"/>
  <c r="BF6" i="15"/>
  <c r="BE6" i="15"/>
  <c r="BO6" i="15"/>
  <c r="BL6" i="15"/>
  <c r="BW6" i="15"/>
  <c r="BJ6" i="15"/>
  <c r="BI6" i="15"/>
  <c r="BT6" i="15"/>
  <c r="BC4" i="15"/>
  <c r="BE5" i="15" l="1"/>
  <c r="BK5" i="15"/>
  <c r="BP5" i="15"/>
  <c r="BG5" i="15"/>
  <c r="BV5" i="15"/>
  <c r="BQ5" i="15"/>
  <c r="BD5" i="15"/>
  <c r="BC5" i="15"/>
  <c r="BS5" i="15"/>
  <c r="BJ5" i="15"/>
  <c r="BU5" i="15"/>
  <c r="BM5" i="15"/>
  <c r="BW5" i="15"/>
  <c r="BI5" i="15"/>
  <c r="BR5" i="15"/>
  <c r="BH5" i="15"/>
  <c r="BL5" i="15"/>
  <c r="BF5" i="15"/>
  <c r="BH6" i="15"/>
  <c r="BC6" i="15"/>
  <c r="BG6" i="15"/>
  <c r="BK6" i="15"/>
  <c r="BS6" i="15"/>
  <c r="BT5" i="15"/>
  <c r="BN5" i="15"/>
  <c r="BQ6" i="15"/>
  <c r="CA6" i="15" s="1"/>
  <c r="BL4" i="15"/>
  <c r="BM4" i="15"/>
  <c r="BN4" i="15"/>
  <c r="BO4" i="15"/>
  <c r="BP4" i="15"/>
  <c r="BQ4" i="15"/>
  <c r="BR4" i="15"/>
  <c r="BG4" i="15"/>
  <c r="BS4" i="15"/>
  <c r="BH4" i="15"/>
  <c r="BT4" i="15"/>
  <c r="BD4" i="15"/>
  <c r="BE4" i="15"/>
  <c r="BU4" i="15"/>
  <c r="BI4" i="15"/>
  <c r="BJ4" i="15"/>
  <c r="BW4" i="15"/>
  <c r="BK4" i="15"/>
  <c r="BF4" i="15"/>
  <c r="AI6" i="15" l="1"/>
  <c r="AI4" i="15"/>
  <c r="CA5" i="15"/>
  <c r="BZ5" i="15"/>
  <c r="AI5" i="15"/>
  <c r="AJ4" i="15"/>
  <c r="AG4" i="15" s="1"/>
  <c r="BZ6" i="15"/>
  <c r="BZ4" i="15"/>
  <c r="CA4" i="15"/>
  <c r="AJ6" i="15"/>
  <c r="AG6" i="15" s="1"/>
  <c r="AJ5" i="15" l="1"/>
  <c r="AG5" i="15"/>
  <c r="BL3" i="15"/>
  <c r="BM2" i="15"/>
  <c r="BF2" i="15" l="1"/>
  <c r="BG2" i="15"/>
  <c r="BD2" i="15"/>
  <c r="BE2" i="15"/>
  <c r="BH2" i="15"/>
  <c r="BJ2" i="15"/>
  <c r="BO2" i="15"/>
  <c r="BQ2" i="15"/>
  <c r="CA2" i="15" s="1"/>
  <c r="BT2" i="15"/>
  <c r="BK2" i="15"/>
  <c r="BC2" i="15"/>
  <c r="BS2" i="15"/>
  <c r="BI2" i="15"/>
  <c r="BL2" i="15"/>
  <c r="BN2" i="15"/>
  <c r="BP2" i="15"/>
  <c r="BR2" i="15"/>
  <c r="BU2" i="15"/>
  <c r="BM3" i="15"/>
  <c r="BP3" i="15"/>
  <c r="BE3" i="15"/>
  <c r="BR3" i="15"/>
  <c r="BG3" i="15"/>
  <c r="BS3" i="15"/>
  <c r="BD3" i="15"/>
  <c r="BQ3" i="15"/>
  <c r="BF3" i="15"/>
  <c r="BH3" i="15"/>
  <c r="BT3" i="15"/>
  <c r="BU3" i="15"/>
  <c r="BN3" i="15"/>
  <c r="BI3" i="15"/>
  <c r="BJ3" i="15"/>
  <c r="BW3" i="15"/>
  <c r="BO3" i="15"/>
  <c r="BK3" i="15"/>
  <c r="BC3" i="15"/>
  <c r="BW2" i="15"/>
  <c r="D4" i="3"/>
  <c r="L25" i="9"/>
  <c r="J25" i="9"/>
  <c r="K25" i="9" s="1"/>
  <c r="Y25" i="6"/>
  <c r="Z25" i="6"/>
  <c r="Y26" i="6"/>
  <c r="Z26" i="6"/>
  <c r="Y27" i="6"/>
  <c r="Z27" i="6"/>
  <c r="Y28" i="6"/>
  <c r="Z28" i="6"/>
  <c r="Y29" i="6"/>
  <c r="Z29" i="6"/>
  <c r="Y30" i="6"/>
  <c r="Z30" i="6"/>
  <c r="Y31" i="6"/>
  <c r="Z31" i="6"/>
  <c r="Y32" i="6"/>
  <c r="Z32" i="6"/>
  <c r="Y33" i="6"/>
  <c r="Z33" i="6"/>
  <c r="Y34" i="6"/>
  <c r="Z34" i="6"/>
  <c r="Z24" i="6"/>
  <c r="Y24" i="6"/>
  <c r="Y21" i="6"/>
  <c r="Z9" i="6"/>
  <c r="Y9" i="6"/>
  <c r="Y12" i="6"/>
  <c r="Y13" i="6"/>
  <c r="Y14" i="6"/>
  <c r="BD14" i="6" s="1"/>
  <c r="Y15" i="6"/>
  <c r="CB15" i="6" s="1"/>
  <c r="Y16" i="6"/>
  <c r="Y17" i="6"/>
  <c r="Y18" i="6"/>
  <c r="Y19" i="6"/>
  <c r="Y20" i="6"/>
  <c r="Y11" i="6"/>
  <c r="BO11" i="6" s="1"/>
  <c r="H12" i="6"/>
  <c r="O12" i="6"/>
  <c r="Z12" i="6"/>
  <c r="H13" i="6"/>
  <c r="O13" i="6"/>
  <c r="Z13" i="6"/>
  <c r="DE13" i="6" s="1"/>
  <c r="H14" i="6"/>
  <c r="O14" i="6"/>
  <c r="Z14" i="6"/>
  <c r="H15" i="6"/>
  <c r="O15" i="6"/>
  <c r="Z15" i="6"/>
  <c r="H16" i="6"/>
  <c r="O16" i="6"/>
  <c r="Z16" i="6"/>
  <c r="H17" i="6"/>
  <c r="CL17" i="6" s="1"/>
  <c r="O17" i="6"/>
  <c r="CP17" i="6" s="1"/>
  <c r="Z17" i="6"/>
  <c r="BP17" i="6" s="1"/>
  <c r="H18" i="6"/>
  <c r="O18" i="6"/>
  <c r="Z18" i="6"/>
  <c r="H19" i="6"/>
  <c r="O19" i="6"/>
  <c r="Z19" i="6"/>
  <c r="H20" i="6"/>
  <c r="DP20" i="6" s="1"/>
  <c r="O20" i="6"/>
  <c r="CG20" i="6" s="1"/>
  <c r="Z20" i="6"/>
  <c r="H21" i="6"/>
  <c r="O21" i="6"/>
  <c r="Z21" i="6"/>
  <c r="CT21" i="6" s="1"/>
  <c r="Z11" i="6"/>
  <c r="O11" i="6"/>
  <c r="H11" i="6"/>
  <c r="Y6" i="6"/>
  <c r="E2" i="9"/>
  <c r="E3" i="9"/>
  <c r="E4" i="9"/>
  <c r="E5" i="9"/>
  <c r="E6" i="9"/>
  <c r="E7" i="9"/>
  <c r="E8" i="9"/>
  <c r="E9" i="9"/>
  <c r="E10" i="9"/>
  <c r="E11" i="9"/>
  <c r="E12" i="9"/>
  <c r="E13" i="9"/>
  <c r="E14" i="9"/>
  <c r="E15" i="9"/>
  <c r="E16" i="9"/>
  <c r="E17" i="9"/>
  <c r="E18" i="9"/>
  <c r="E19" i="9"/>
  <c r="E20" i="9"/>
  <c r="E21" i="9"/>
  <c r="E22" i="9"/>
  <c r="E23" i="9"/>
  <c r="E24" i="9"/>
  <c r="BO12" i="6"/>
  <c r="DD20" i="6"/>
  <c r="BP20" i="6"/>
  <c r="DD17" i="6"/>
  <c r="DD14" i="6"/>
  <c r="BO20" i="6"/>
  <c r="O33" i="6"/>
  <c r="CT20" i="6"/>
  <c r="BD20" i="6"/>
  <c r="O30" i="6"/>
  <c r="O27" i="6"/>
  <c r="CT14" i="6"/>
  <c r="DM20" i="6"/>
  <c r="CN20" i="6"/>
  <c r="DA20" i="6"/>
  <c r="DN20" i="6"/>
  <c r="CO20" i="6"/>
  <c r="DB20" i="6"/>
  <c r="DO20" i="6"/>
  <c r="CP20" i="6"/>
  <c r="DC20" i="6"/>
  <c r="DQ20" i="6"/>
  <c r="CS20" i="6"/>
  <c r="DE20" i="6"/>
  <c r="DR20" i="6"/>
  <c r="DG20" i="6"/>
  <c r="DS20" i="6"/>
  <c r="CU20" i="6"/>
  <c r="DH20" i="6"/>
  <c r="DT20" i="6"/>
  <c r="CV20" i="6"/>
  <c r="CW20" i="6"/>
  <c r="DJ20" i="6"/>
  <c r="DV20" i="6"/>
  <c r="CX20" i="6"/>
  <c r="DK20" i="6"/>
  <c r="CL20" i="6"/>
  <c r="CY20" i="6"/>
  <c r="DL20" i="6"/>
  <c r="BG20" i="6"/>
  <c r="BT20" i="6"/>
  <c r="BY20" i="6"/>
  <c r="BH20" i="6"/>
  <c r="BU20" i="6"/>
  <c r="AW20" i="6"/>
  <c r="BI20" i="6"/>
  <c r="BV20" i="6"/>
  <c r="AX20" i="6"/>
  <c r="BJ20" i="6"/>
  <c r="BW20" i="6"/>
  <c r="AY20" i="6"/>
  <c r="BK20" i="6"/>
  <c r="AZ20" i="6"/>
  <c r="BL20" i="6"/>
  <c r="BZ20" i="6"/>
  <c r="BA20" i="6"/>
  <c r="BM20" i="6"/>
  <c r="CA20" i="6"/>
  <c r="BB20" i="6"/>
  <c r="BN20" i="6"/>
  <c r="CB20" i="6"/>
  <c r="BC20" i="6"/>
  <c r="CC20" i="6"/>
  <c r="BE20" i="6"/>
  <c r="BR20" i="6"/>
  <c r="CE20" i="6"/>
  <c r="BF20" i="6"/>
  <c r="BS20" i="6"/>
  <c r="CF20" i="6"/>
  <c r="DK17" i="6"/>
  <c r="DO17" i="6"/>
  <c r="DH17" i="6"/>
  <c r="BG17" i="6"/>
  <c r="BK17" i="6"/>
  <c r="BM17" i="6"/>
  <c r="BC17" i="6"/>
  <c r="DG14" i="6"/>
  <c r="DS14" i="6"/>
  <c r="CU14" i="6"/>
  <c r="DH14" i="6"/>
  <c r="DT14" i="6"/>
  <c r="CV14" i="6"/>
  <c r="DI14" i="6"/>
  <c r="DU14" i="6"/>
  <c r="CW14" i="6"/>
  <c r="DJ14" i="6"/>
  <c r="DV14" i="6"/>
  <c r="CX14" i="6"/>
  <c r="DK14" i="6"/>
  <c r="CL14" i="6"/>
  <c r="CY14" i="6"/>
  <c r="DL14" i="6"/>
  <c r="BY14" i="6"/>
  <c r="CM14" i="6"/>
  <c r="CZ14" i="6"/>
  <c r="DM14" i="6"/>
  <c r="CN14" i="6"/>
  <c r="DA14" i="6"/>
  <c r="DN14" i="6"/>
  <c r="CO14" i="6"/>
  <c r="DB14" i="6"/>
  <c r="DO14" i="6"/>
  <c r="CP14" i="6"/>
  <c r="DC14" i="6"/>
  <c r="DP14" i="6"/>
  <c r="CQ14" i="6"/>
  <c r="DQ14" i="6"/>
  <c r="CS14" i="6"/>
  <c r="DE14" i="6"/>
  <c r="DR14" i="6"/>
  <c r="BA14" i="6"/>
  <c r="BM14" i="6"/>
  <c r="CA14" i="6"/>
  <c r="BB14" i="6"/>
  <c r="BN14" i="6"/>
  <c r="CB14" i="6"/>
  <c r="BC14" i="6"/>
  <c r="CC14" i="6"/>
  <c r="CD14" i="6"/>
  <c r="BE14" i="6"/>
  <c r="BR14" i="6"/>
  <c r="CE14" i="6"/>
  <c r="BF14" i="6"/>
  <c r="BS14" i="6"/>
  <c r="CF14" i="6"/>
  <c r="BG14" i="6"/>
  <c r="BT14" i="6"/>
  <c r="CG14" i="6"/>
  <c r="BH14" i="6"/>
  <c r="BU14" i="6"/>
  <c r="AW14" i="6"/>
  <c r="BI14" i="6"/>
  <c r="BV14" i="6"/>
  <c r="AX14" i="6"/>
  <c r="BJ14" i="6"/>
  <c r="BW14" i="6"/>
  <c r="AY14" i="6"/>
  <c r="BK14" i="6"/>
  <c r="BX14" i="6"/>
  <c r="AZ14" i="6"/>
  <c r="BL14" i="6"/>
  <c r="BZ14" i="6"/>
  <c r="DD16" i="6"/>
  <c r="BP16" i="6"/>
  <c r="BO16" i="6"/>
  <c r="CS11" i="6"/>
  <c r="DE11" i="6"/>
  <c r="DR11" i="6"/>
  <c r="DG11" i="6"/>
  <c r="DS11" i="6"/>
  <c r="CU11" i="6"/>
  <c r="DH11" i="6"/>
  <c r="DT11" i="6"/>
  <c r="BY11" i="6"/>
  <c r="CV11" i="6"/>
  <c r="DI11" i="6"/>
  <c r="DU11" i="6"/>
  <c r="CW11" i="6"/>
  <c r="DJ11" i="6"/>
  <c r="DV11" i="6"/>
  <c r="CL11" i="6"/>
  <c r="CX11" i="6"/>
  <c r="DK11" i="6"/>
  <c r="CM11" i="6"/>
  <c r="CY11" i="6"/>
  <c r="DL11" i="6"/>
  <c r="CN11" i="6"/>
  <c r="CZ11" i="6"/>
  <c r="DM11" i="6"/>
  <c r="CO11" i="6"/>
  <c r="DA11" i="6"/>
  <c r="DN11" i="6"/>
  <c r="CP11" i="6"/>
  <c r="DB11" i="6"/>
  <c r="DO11" i="6"/>
  <c r="CQ11" i="6"/>
  <c r="DC11" i="6"/>
  <c r="DP11" i="6"/>
  <c r="DQ11" i="6"/>
  <c r="AX11" i="6"/>
  <c r="BJ11" i="6"/>
  <c r="BW11" i="6"/>
  <c r="AY11" i="6"/>
  <c r="BK11" i="6"/>
  <c r="BX11" i="6"/>
  <c r="AZ11" i="6"/>
  <c r="BL11" i="6"/>
  <c r="BZ11" i="6"/>
  <c r="BA11" i="6"/>
  <c r="BM11" i="6"/>
  <c r="CA11" i="6"/>
  <c r="BB11" i="6"/>
  <c r="BN11" i="6"/>
  <c r="CB11" i="6"/>
  <c r="BC11" i="6"/>
  <c r="CC11" i="6"/>
  <c r="CD11" i="6"/>
  <c r="BE11" i="6"/>
  <c r="BR11" i="6"/>
  <c r="CE11" i="6"/>
  <c r="BF11" i="6"/>
  <c r="BS11" i="6"/>
  <c r="CF11" i="6"/>
  <c r="BG11" i="6"/>
  <c r="BT11" i="6"/>
  <c r="CG11" i="6"/>
  <c r="BH11" i="6"/>
  <c r="BU11" i="6"/>
  <c r="AW11" i="6"/>
  <c r="BI11" i="6"/>
  <c r="BV11" i="6"/>
  <c r="DD19" i="6"/>
  <c r="BP19" i="6"/>
  <c r="O24" i="6"/>
  <c r="CT11" i="6"/>
  <c r="BD11" i="6"/>
  <c r="O32" i="6"/>
  <c r="CT19" i="6"/>
  <c r="BD19" i="6"/>
  <c r="O29" i="6"/>
  <c r="CT16" i="6"/>
  <c r="BD16" i="6"/>
  <c r="O26" i="6"/>
  <c r="DD11" i="6"/>
  <c r="BP11" i="6"/>
  <c r="CL19" i="6"/>
  <c r="CY19" i="6"/>
  <c r="DL19" i="6"/>
  <c r="CM19" i="6"/>
  <c r="CZ19" i="6"/>
  <c r="DM19" i="6"/>
  <c r="CN19" i="6"/>
  <c r="DA19" i="6"/>
  <c r="DN19" i="6"/>
  <c r="CO19" i="6"/>
  <c r="DB19" i="6"/>
  <c r="DO19" i="6"/>
  <c r="CP19" i="6"/>
  <c r="DC19" i="6"/>
  <c r="DP19" i="6"/>
  <c r="CQ19" i="6"/>
  <c r="DQ19" i="6"/>
  <c r="CS19" i="6"/>
  <c r="DE19" i="6"/>
  <c r="DR19" i="6"/>
  <c r="DG19" i="6"/>
  <c r="DS19" i="6"/>
  <c r="CU19" i="6"/>
  <c r="DH19" i="6"/>
  <c r="DT19" i="6"/>
  <c r="CV19" i="6"/>
  <c r="DI19" i="6"/>
  <c r="DU19" i="6"/>
  <c r="CW19" i="6"/>
  <c r="DJ19" i="6"/>
  <c r="DV19" i="6"/>
  <c r="CX19" i="6"/>
  <c r="DK19" i="6"/>
  <c r="BY19" i="6"/>
  <c r="BF19" i="6"/>
  <c r="BS19" i="6"/>
  <c r="CF19" i="6"/>
  <c r="BG19" i="6"/>
  <c r="BT19" i="6"/>
  <c r="CG19" i="6"/>
  <c r="BH19" i="6"/>
  <c r="BU19" i="6"/>
  <c r="AW19" i="6"/>
  <c r="BI19" i="6"/>
  <c r="BV19" i="6"/>
  <c r="AX19" i="6"/>
  <c r="BJ19" i="6"/>
  <c r="BW19" i="6"/>
  <c r="AY19" i="6"/>
  <c r="BK19" i="6"/>
  <c r="BX19" i="6"/>
  <c r="AZ19" i="6"/>
  <c r="BL19" i="6"/>
  <c r="BZ19" i="6"/>
  <c r="BA19" i="6"/>
  <c r="BM19" i="6"/>
  <c r="CA19" i="6"/>
  <c r="BB19" i="6"/>
  <c r="BN19" i="6"/>
  <c r="CB19" i="6"/>
  <c r="BC19" i="6"/>
  <c r="CC19" i="6"/>
  <c r="CD19" i="6"/>
  <c r="BE19" i="6"/>
  <c r="BR19" i="6"/>
  <c r="CE19" i="6"/>
  <c r="CV16" i="6"/>
  <c r="DI16" i="6"/>
  <c r="DU16" i="6"/>
  <c r="CW16" i="6"/>
  <c r="DJ16" i="6"/>
  <c r="DV16" i="6"/>
  <c r="CX16" i="6"/>
  <c r="DK16" i="6"/>
  <c r="CL16" i="6"/>
  <c r="CY16" i="6"/>
  <c r="DL16" i="6"/>
  <c r="CM16" i="6"/>
  <c r="CZ16" i="6"/>
  <c r="DM16" i="6"/>
  <c r="CN16" i="6"/>
  <c r="DA16" i="6"/>
  <c r="DN16" i="6"/>
  <c r="CO16" i="6"/>
  <c r="DB16" i="6"/>
  <c r="DO16" i="6"/>
  <c r="CP16" i="6"/>
  <c r="DC16" i="6"/>
  <c r="DP16" i="6"/>
  <c r="CQ16" i="6"/>
  <c r="DQ16" i="6"/>
  <c r="CS16" i="6"/>
  <c r="DE16" i="6"/>
  <c r="DR16" i="6"/>
  <c r="DG16" i="6"/>
  <c r="DS16" i="6"/>
  <c r="CU16" i="6"/>
  <c r="DH16" i="6"/>
  <c r="DT16" i="6"/>
  <c r="BC16" i="6"/>
  <c r="CC16" i="6"/>
  <c r="CD16" i="6"/>
  <c r="BE16" i="6"/>
  <c r="BR16" i="6"/>
  <c r="CE16" i="6"/>
  <c r="BF16" i="6"/>
  <c r="BS16" i="6"/>
  <c r="CF16" i="6"/>
  <c r="BG16" i="6"/>
  <c r="BT16" i="6"/>
  <c r="CG16" i="6"/>
  <c r="BH16" i="6"/>
  <c r="BU16" i="6"/>
  <c r="AW16" i="6"/>
  <c r="BI16" i="6"/>
  <c r="BV16" i="6"/>
  <c r="AX16" i="6"/>
  <c r="BJ16" i="6"/>
  <c r="BW16" i="6"/>
  <c r="AY16" i="6"/>
  <c r="BK16" i="6"/>
  <c r="BX16" i="6"/>
  <c r="BY16" i="6"/>
  <c r="AZ16" i="6"/>
  <c r="BL16" i="6"/>
  <c r="BZ16" i="6"/>
  <c r="BA16" i="6"/>
  <c r="BM16" i="6"/>
  <c r="CA16" i="6"/>
  <c r="BB16" i="6"/>
  <c r="BN16" i="6"/>
  <c r="CB16" i="6"/>
  <c r="CS13" i="6"/>
  <c r="DH13" i="6"/>
  <c r="DJ13" i="6"/>
  <c r="CM13" i="6"/>
  <c r="CO13" i="6"/>
  <c r="CQ13" i="6"/>
  <c r="BZ13" i="6"/>
  <c r="CB13" i="6"/>
  <c r="CE13" i="6"/>
  <c r="CG13" i="6"/>
  <c r="AX13" i="6"/>
  <c r="BO14" i="6"/>
  <c r="DD15" i="6"/>
  <c r="O34" i="6"/>
  <c r="CT18" i="6"/>
  <c r="BD18" i="6"/>
  <c r="O28" i="6"/>
  <c r="CT15" i="6"/>
  <c r="O25" i="6"/>
  <c r="CT12" i="6"/>
  <c r="BD12" i="6"/>
  <c r="BY9" i="6"/>
  <c r="AW9" i="6"/>
  <c r="BI9" i="6"/>
  <c r="BV9" i="6"/>
  <c r="AX9" i="6"/>
  <c r="BJ9" i="6"/>
  <c r="BW9" i="6"/>
  <c r="AY9" i="6"/>
  <c r="BK9" i="6"/>
  <c r="BX9" i="6"/>
  <c r="AZ9" i="6"/>
  <c r="BL9" i="6"/>
  <c r="BZ9" i="6"/>
  <c r="BA9" i="6"/>
  <c r="BM9" i="6"/>
  <c r="CA9" i="6"/>
  <c r="BB9" i="6"/>
  <c r="BN9" i="6"/>
  <c r="CB9" i="6"/>
  <c r="BC9" i="6"/>
  <c r="BO9" i="6"/>
  <c r="CC9" i="6"/>
  <c r="BD9" i="6"/>
  <c r="CD9" i="6"/>
  <c r="BE9" i="6"/>
  <c r="BR9" i="6"/>
  <c r="CE9" i="6"/>
  <c r="BF9" i="6"/>
  <c r="BS9" i="6"/>
  <c r="CF9" i="6"/>
  <c r="BG9" i="6"/>
  <c r="BT9" i="6"/>
  <c r="CG9" i="6"/>
  <c r="BH9" i="6"/>
  <c r="BU9" i="6"/>
  <c r="DD18" i="6"/>
  <c r="BP18" i="6"/>
  <c r="DD12" i="6"/>
  <c r="BP12" i="6"/>
  <c r="CO21" i="6"/>
  <c r="CQ21" i="6"/>
  <c r="DS21" i="6"/>
  <c r="DU21" i="6"/>
  <c r="CL21" i="6"/>
  <c r="BH21" i="6"/>
  <c r="BJ21" i="6"/>
  <c r="BL21" i="6"/>
  <c r="BN21" i="6"/>
  <c r="BR21" i="6"/>
  <c r="BT21" i="6"/>
  <c r="CX18" i="6"/>
  <c r="DK18" i="6"/>
  <c r="CL18" i="6"/>
  <c r="CY18" i="6"/>
  <c r="DL18" i="6"/>
  <c r="CM18" i="6"/>
  <c r="CZ18" i="6"/>
  <c r="DM18" i="6"/>
  <c r="CN18" i="6"/>
  <c r="DA18" i="6"/>
  <c r="DN18" i="6"/>
  <c r="CO18" i="6"/>
  <c r="DB18" i="6"/>
  <c r="DO18" i="6"/>
  <c r="CP18" i="6"/>
  <c r="DC18" i="6"/>
  <c r="DP18" i="6"/>
  <c r="CQ18" i="6"/>
  <c r="DQ18" i="6"/>
  <c r="CS18" i="6"/>
  <c r="DE18" i="6"/>
  <c r="DR18" i="6"/>
  <c r="DG18" i="6"/>
  <c r="DS18" i="6"/>
  <c r="CU18" i="6"/>
  <c r="DH18" i="6"/>
  <c r="DT18" i="6"/>
  <c r="CV18" i="6"/>
  <c r="DI18" i="6"/>
  <c r="DU18" i="6"/>
  <c r="CW18" i="6"/>
  <c r="DJ18" i="6"/>
  <c r="DV18" i="6"/>
  <c r="BE18" i="6"/>
  <c r="BR18" i="6"/>
  <c r="CE18" i="6"/>
  <c r="BF18" i="6"/>
  <c r="BS18" i="6"/>
  <c r="CF18" i="6"/>
  <c r="BG18" i="6"/>
  <c r="BT18" i="6"/>
  <c r="CG18" i="6"/>
  <c r="BH18" i="6"/>
  <c r="BU18" i="6"/>
  <c r="AW18" i="6"/>
  <c r="BI18" i="6"/>
  <c r="BV18" i="6"/>
  <c r="AX18" i="6"/>
  <c r="BJ18" i="6"/>
  <c r="BW18" i="6"/>
  <c r="AY18" i="6"/>
  <c r="BK18" i="6"/>
  <c r="BX18" i="6"/>
  <c r="AZ18" i="6"/>
  <c r="BL18" i="6"/>
  <c r="BZ18" i="6"/>
  <c r="BA18" i="6"/>
  <c r="BM18" i="6"/>
  <c r="CA18" i="6"/>
  <c r="BB18" i="6"/>
  <c r="BN18" i="6"/>
  <c r="CB18" i="6"/>
  <c r="BC18" i="6"/>
  <c r="CC18" i="6"/>
  <c r="BY18" i="6"/>
  <c r="CD18" i="6"/>
  <c r="CU15" i="6"/>
  <c r="DH15" i="6"/>
  <c r="DT15" i="6"/>
  <c r="CV15" i="6"/>
  <c r="DI15" i="6"/>
  <c r="DU15" i="6"/>
  <c r="CW15" i="6"/>
  <c r="DJ15" i="6"/>
  <c r="DV15" i="6"/>
  <c r="CX15" i="6"/>
  <c r="DK15" i="6"/>
  <c r="CL15" i="6"/>
  <c r="CY15" i="6"/>
  <c r="DL15" i="6"/>
  <c r="CM15" i="6"/>
  <c r="CZ15" i="6"/>
  <c r="DM15" i="6"/>
  <c r="CN15" i="6"/>
  <c r="DA15" i="6"/>
  <c r="DN15" i="6"/>
  <c r="CO15" i="6"/>
  <c r="DB15" i="6"/>
  <c r="DO15" i="6"/>
  <c r="CP15" i="6"/>
  <c r="DC15" i="6"/>
  <c r="DP15" i="6"/>
  <c r="CQ15" i="6"/>
  <c r="DQ15" i="6"/>
  <c r="CS15" i="6"/>
  <c r="DE15" i="6"/>
  <c r="DR15" i="6"/>
  <c r="DG15" i="6"/>
  <c r="DS15" i="6"/>
  <c r="BN15" i="6"/>
  <c r="BR15" i="6"/>
  <c r="BT15" i="6"/>
  <c r="BV15" i="6"/>
  <c r="BK15" i="6"/>
  <c r="BM15" i="6"/>
  <c r="CS12" i="6"/>
  <c r="DE12" i="6"/>
  <c r="DR12" i="6"/>
  <c r="DG12" i="6"/>
  <c r="DS12" i="6"/>
  <c r="CU12" i="6"/>
  <c r="DH12" i="6"/>
  <c r="DT12" i="6"/>
  <c r="CV12" i="6"/>
  <c r="DI12" i="6"/>
  <c r="DU12" i="6"/>
  <c r="BY12" i="6"/>
  <c r="CW12" i="6"/>
  <c r="DJ12" i="6"/>
  <c r="DV12" i="6"/>
  <c r="CL12" i="6"/>
  <c r="CX12" i="6"/>
  <c r="DK12" i="6"/>
  <c r="CM12" i="6"/>
  <c r="CY12" i="6"/>
  <c r="DL12" i="6"/>
  <c r="CN12" i="6"/>
  <c r="CZ12" i="6"/>
  <c r="DM12" i="6"/>
  <c r="CO12" i="6"/>
  <c r="DA12" i="6"/>
  <c r="DN12" i="6"/>
  <c r="CP12" i="6"/>
  <c r="DB12" i="6"/>
  <c r="DO12" i="6"/>
  <c r="CQ12" i="6"/>
  <c r="DC12" i="6"/>
  <c r="DP12" i="6"/>
  <c r="DQ12" i="6"/>
  <c r="AY12" i="6"/>
  <c r="BK12" i="6"/>
  <c r="BX12" i="6"/>
  <c r="AZ12" i="6"/>
  <c r="BL12" i="6"/>
  <c r="BZ12" i="6"/>
  <c r="BA12" i="6"/>
  <c r="BM12" i="6"/>
  <c r="CA12" i="6"/>
  <c r="BB12" i="6"/>
  <c r="BN12" i="6"/>
  <c r="CB12" i="6"/>
  <c r="BC12" i="6"/>
  <c r="CC12" i="6"/>
  <c r="CD12" i="6"/>
  <c r="BE12" i="6"/>
  <c r="BR12" i="6"/>
  <c r="CE12" i="6"/>
  <c r="BF12" i="6"/>
  <c r="BS12" i="6"/>
  <c r="CF12" i="6"/>
  <c r="BG12" i="6"/>
  <c r="BT12" i="6"/>
  <c r="CG12" i="6"/>
  <c r="BH12" i="6"/>
  <c r="BU12" i="6"/>
  <c r="AW12" i="6"/>
  <c r="BI12" i="6"/>
  <c r="BV12" i="6"/>
  <c r="AX12" i="6"/>
  <c r="BJ12" i="6"/>
  <c r="BW12" i="6"/>
  <c r="CS9" i="6"/>
  <c r="DE9" i="6"/>
  <c r="DR9" i="6"/>
  <c r="CT9" i="6"/>
  <c r="DG9" i="6"/>
  <c r="DS9" i="6"/>
  <c r="CU9" i="6"/>
  <c r="DH9" i="6"/>
  <c r="DT9" i="6"/>
  <c r="CV9" i="6"/>
  <c r="DI9" i="6"/>
  <c r="DU9" i="6"/>
  <c r="CW9" i="6"/>
  <c r="DJ9" i="6"/>
  <c r="DV9" i="6"/>
  <c r="CL9" i="6"/>
  <c r="CX9" i="6"/>
  <c r="DK9" i="6"/>
  <c r="CM9" i="6"/>
  <c r="CY9" i="6"/>
  <c r="DL9" i="6"/>
  <c r="CN9" i="6"/>
  <c r="CZ9" i="6"/>
  <c r="DM9" i="6"/>
  <c r="CO9" i="6"/>
  <c r="DA9" i="6"/>
  <c r="DN9" i="6"/>
  <c r="CP9" i="6"/>
  <c r="DB9" i="6"/>
  <c r="DO9" i="6"/>
  <c r="CQ9" i="6"/>
  <c r="DC9" i="6"/>
  <c r="DP9" i="6"/>
  <c r="DD9" i="6"/>
  <c r="DQ9" i="6"/>
  <c r="BP9" i="6"/>
  <c r="H33" i="6"/>
  <c r="H30" i="6"/>
  <c r="BO30" i="6" s="1"/>
  <c r="H27" i="6"/>
  <c r="H26" i="6"/>
  <c r="DD26" i="6" s="1"/>
  <c r="H34" i="6"/>
  <c r="H31" i="6"/>
  <c r="H28" i="6"/>
  <c r="H25" i="6"/>
  <c r="DD25" i="6" s="1"/>
  <c r="H24" i="6"/>
  <c r="DD24" i="6" s="1"/>
  <c r="H32" i="6"/>
  <c r="DD32" i="6" s="1"/>
  <c r="O31" i="6"/>
  <c r="H29" i="6"/>
  <c r="AI3" i="15" l="1"/>
  <c r="AI2" i="15"/>
  <c r="AJ2" i="15"/>
  <c r="BZ2" i="15"/>
  <c r="CA3" i="15"/>
  <c r="AJ3" i="15"/>
  <c r="BZ3" i="15"/>
  <c r="AY15" i="6"/>
  <c r="BG15" i="6"/>
  <c r="BB15" i="6"/>
  <c r="BE21" i="6"/>
  <c r="AZ21" i="6"/>
  <c r="DM21" i="6"/>
  <c r="DI21" i="6"/>
  <c r="DP21" i="6"/>
  <c r="BP15" i="6"/>
  <c r="BV13" i="6"/>
  <c r="BR13" i="6"/>
  <c r="BL13" i="6"/>
  <c r="DM13" i="6"/>
  <c r="CW13" i="6"/>
  <c r="CB17" i="6"/>
  <c r="AY17" i="6"/>
  <c r="CF17" i="6"/>
  <c r="CU17" i="6"/>
  <c r="DB17" i="6"/>
  <c r="CX17" i="6"/>
  <c r="BW15" i="6"/>
  <c r="CF15" i="6"/>
  <c r="CD21" i="6"/>
  <c r="BX21" i="6"/>
  <c r="CZ21" i="6"/>
  <c r="CV21" i="6"/>
  <c r="DC21" i="6"/>
  <c r="BI13" i="6"/>
  <c r="BE13" i="6"/>
  <c r="AZ13" i="6"/>
  <c r="CZ13" i="6"/>
  <c r="DU13" i="6"/>
  <c r="BN17" i="6"/>
  <c r="BW17" i="6"/>
  <c r="BS17" i="6"/>
  <c r="DS17" i="6"/>
  <c r="CO17" i="6"/>
  <c r="DV17" i="6"/>
  <c r="BD17" i="6"/>
  <c r="BJ15" i="6"/>
  <c r="BS15" i="6"/>
  <c r="CC21" i="6"/>
  <c r="BK21" i="6"/>
  <c r="CM21" i="6"/>
  <c r="DT21" i="6"/>
  <c r="CP21" i="6"/>
  <c r="BP21" i="6"/>
  <c r="AW13" i="6"/>
  <c r="CD13" i="6"/>
  <c r="DQ13" i="6"/>
  <c r="CN13" i="6"/>
  <c r="DI13" i="6"/>
  <c r="BD13" i="6"/>
  <c r="BP13" i="6"/>
  <c r="BB17" i="6"/>
  <c r="BJ17" i="6"/>
  <c r="BF17" i="6"/>
  <c r="DG17" i="6"/>
  <c r="DN17" i="6"/>
  <c r="DJ17" i="6"/>
  <c r="CT17" i="6"/>
  <c r="AX15" i="6"/>
  <c r="BF15" i="6"/>
  <c r="BC21" i="6"/>
  <c r="AY21" i="6"/>
  <c r="DL21" i="6"/>
  <c r="DH21" i="6"/>
  <c r="DO21" i="6"/>
  <c r="DD21" i="6"/>
  <c r="BU13" i="6"/>
  <c r="CC13" i="6"/>
  <c r="DP13" i="6"/>
  <c r="DL13" i="6"/>
  <c r="CV13" i="6"/>
  <c r="CT13" i="6"/>
  <c r="DD13" i="6"/>
  <c r="BO17" i="6"/>
  <c r="BY17" i="6"/>
  <c r="AX17" i="6"/>
  <c r="CE17" i="6"/>
  <c r="DR17" i="6"/>
  <c r="DA17" i="6"/>
  <c r="CW17" i="6"/>
  <c r="CA15" i="6"/>
  <c r="BY15" i="6"/>
  <c r="CE15" i="6"/>
  <c r="CG21" i="6"/>
  <c r="CB21" i="6"/>
  <c r="BW21" i="6"/>
  <c r="CY21" i="6"/>
  <c r="CU21" i="6"/>
  <c r="DB21" i="6"/>
  <c r="BD15" i="6"/>
  <c r="BO13" i="6"/>
  <c r="BH13" i="6"/>
  <c r="BC13" i="6"/>
  <c r="DC13" i="6"/>
  <c r="CY13" i="6"/>
  <c r="DT13" i="6"/>
  <c r="CA17" i="6"/>
  <c r="BV17" i="6"/>
  <c r="BR17" i="6"/>
  <c r="DE17" i="6"/>
  <c r="CN17" i="6"/>
  <c r="DD34" i="6"/>
  <c r="CS17" i="6"/>
  <c r="BO21" i="6"/>
  <c r="M25" i="9"/>
  <c r="BA15" i="6"/>
  <c r="BI15" i="6"/>
  <c r="BE15" i="6"/>
  <c r="BG21" i="6"/>
  <c r="BB21" i="6"/>
  <c r="AX21" i="6"/>
  <c r="DK21" i="6"/>
  <c r="DG21" i="6"/>
  <c r="BY21" i="6"/>
  <c r="BX13" i="6"/>
  <c r="BT13" i="6"/>
  <c r="BN13" i="6"/>
  <c r="DO13" i="6"/>
  <c r="DK13" i="6"/>
  <c r="CU13" i="6"/>
  <c r="BA17" i="6"/>
  <c r="AW17" i="6"/>
  <c r="CD17" i="6"/>
  <c r="DQ17" i="6"/>
  <c r="CZ17" i="6"/>
  <c r="BZ15" i="6"/>
  <c r="AW15" i="6"/>
  <c r="CD15" i="6"/>
  <c r="CF21" i="6"/>
  <c r="CA21" i="6"/>
  <c r="BV21" i="6"/>
  <c r="CX21" i="6"/>
  <c r="DR21" i="6"/>
  <c r="DN21" i="6"/>
  <c r="BK13" i="6"/>
  <c r="BG13" i="6"/>
  <c r="BB13" i="6"/>
  <c r="DB13" i="6"/>
  <c r="CX13" i="6"/>
  <c r="DS13" i="6"/>
  <c r="BZ17" i="6"/>
  <c r="BU17" i="6"/>
  <c r="DU17" i="6"/>
  <c r="CQ17" i="6"/>
  <c r="CM17" i="6"/>
  <c r="BO15" i="6"/>
  <c r="BO19" i="6"/>
  <c r="DM17" i="6"/>
  <c r="BL15" i="6"/>
  <c r="BU15" i="6"/>
  <c r="CC15" i="6"/>
  <c r="BS21" i="6"/>
  <c r="BM21" i="6"/>
  <c r="BI21" i="6"/>
  <c r="DV21" i="6"/>
  <c r="DE21" i="6"/>
  <c r="DA21" i="6"/>
  <c r="AY13" i="6"/>
  <c r="CF13" i="6"/>
  <c r="CA13" i="6"/>
  <c r="CP13" i="6"/>
  <c r="CL13" i="6"/>
  <c r="DG13" i="6"/>
  <c r="BL17" i="6"/>
  <c r="BH17" i="6"/>
  <c r="DI17" i="6"/>
  <c r="DP17" i="6"/>
  <c r="DL17" i="6"/>
  <c r="CZ20" i="6"/>
  <c r="BP14" i="6"/>
  <c r="BO18" i="6"/>
  <c r="BI17" i="6"/>
  <c r="AZ15" i="6"/>
  <c r="BH15" i="6"/>
  <c r="BC15" i="6"/>
  <c r="BF21" i="6"/>
  <c r="BA21" i="6"/>
  <c r="AW21" i="6"/>
  <c r="DJ21" i="6"/>
  <c r="CS21" i="6"/>
  <c r="CN21" i="6"/>
  <c r="BD21" i="6"/>
  <c r="BW13" i="6"/>
  <c r="BS13" i="6"/>
  <c r="BM13" i="6"/>
  <c r="DN13" i="6"/>
  <c r="BY13" i="6"/>
  <c r="DR13" i="6"/>
  <c r="AZ17" i="6"/>
  <c r="CG17" i="6"/>
  <c r="CV17" i="6"/>
  <c r="DC17" i="6"/>
  <c r="CY17" i="6"/>
  <c r="DU20" i="6"/>
  <c r="CQ20" i="6"/>
  <c r="CM20" i="6"/>
  <c r="BE17" i="6"/>
  <c r="BO27" i="6"/>
  <c r="BO33" i="6"/>
  <c r="BX15" i="6"/>
  <c r="CG15" i="6"/>
  <c r="CE21" i="6"/>
  <c r="BZ21" i="6"/>
  <c r="BU21" i="6"/>
  <c r="CW21" i="6"/>
  <c r="DQ21" i="6"/>
  <c r="BJ13" i="6"/>
  <c r="BF13" i="6"/>
  <c r="BA13" i="6"/>
  <c r="DA13" i="6"/>
  <c r="DV13" i="6"/>
  <c r="CC17" i="6"/>
  <c r="BX17" i="6"/>
  <c r="BT17" i="6"/>
  <c r="DT17" i="6"/>
  <c r="CD20" i="6"/>
  <c r="BX20" i="6"/>
  <c r="DI20" i="6"/>
  <c r="BO25" i="6"/>
  <c r="DD28" i="6"/>
  <c r="BO29" i="6"/>
  <c r="CR16" i="6"/>
  <c r="BO31" i="6"/>
  <c r="CR9" i="6"/>
  <c r="BP30" i="6"/>
  <c r="CR13" i="6"/>
  <c r="DX13" i="6" s="1"/>
  <c r="CR11" i="6"/>
  <c r="DX11" i="6" s="1"/>
  <c r="CR15" i="6"/>
  <c r="DX15" i="6" s="1"/>
  <c r="CR18" i="6"/>
  <c r="DX18" i="6" s="1"/>
  <c r="CR21" i="6"/>
  <c r="DX21" i="6" s="1"/>
  <c r="DX16" i="6"/>
  <c r="BP28" i="6"/>
  <c r="CT28" i="6"/>
  <c r="BD28" i="6"/>
  <c r="BP26" i="6"/>
  <c r="CT32" i="6"/>
  <c r="BD32" i="6"/>
  <c r="CT33" i="6"/>
  <c r="BD33" i="6"/>
  <c r="CR19" i="6"/>
  <c r="DX19" i="6" s="1"/>
  <c r="BP34" i="6"/>
  <c r="CR17" i="6"/>
  <c r="DX17" i="6" s="1"/>
  <c r="BP29" i="6"/>
  <c r="CW31" i="6"/>
  <c r="DJ31" i="6"/>
  <c r="DV31" i="6"/>
  <c r="CX31" i="6"/>
  <c r="DK31" i="6"/>
  <c r="CL31" i="6"/>
  <c r="CY31" i="6"/>
  <c r="DL31" i="6"/>
  <c r="CM31" i="6"/>
  <c r="CZ31" i="6"/>
  <c r="DM31" i="6"/>
  <c r="CN31" i="6"/>
  <c r="DA31" i="6"/>
  <c r="DN31" i="6"/>
  <c r="CO31" i="6"/>
  <c r="DB31" i="6"/>
  <c r="DO31" i="6"/>
  <c r="CP31" i="6"/>
  <c r="DC31" i="6"/>
  <c r="DP31" i="6"/>
  <c r="CQ31" i="6"/>
  <c r="DQ31" i="6"/>
  <c r="CS31" i="6"/>
  <c r="DE31" i="6"/>
  <c r="DR31" i="6"/>
  <c r="DG31" i="6"/>
  <c r="DS31" i="6"/>
  <c r="CU31" i="6"/>
  <c r="DH31" i="6"/>
  <c r="DT31" i="6"/>
  <c r="CV31" i="6"/>
  <c r="DI31" i="6"/>
  <c r="DU31" i="6"/>
  <c r="CD31" i="6"/>
  <c r="BE31" i="6"/>
  <c r="BR31" i="6"/>
  <c r="CE31" i="6"/>
  <c r="BF31" i="6"/>
  <c r="BS31" i="6"/>
  <c r="CF31" i="6"/>
  <c r="BG31" i="6"/>
  <c r="BT31" i="6"/>
  <c r="CG31" i="6"/>
  <c r="BY31" i="6"/>
  <c r="BH31" i="6"/>
  <c r="BU31" i="6"/>
  <c r="AW31" i="6"/>
  <c r="BI31" i="6"/>
  <c r="BV31" i="6"/>
  <c r="AX31" i="6"/>
  <c r="BJ31" i="6"/>
  <c r="BW31" i="6"/>
  <c r="AY31" i="6"/>
  <c r="BK31" i="6"/>
  <c r="BX31" i="6"/>
  <c r="AZ31" i="6"/>
  <c r="BL31" i="6"/>
  <c r="BZ31" i="6"/>
  <c r="BA31" i="6"/>
  <c r="BM31" i="6"/>
  <c r="CA31" i="6"/>
  <c r="BB31" i="6"/>
  <c r="BN31" i="6"/>
  <c r="CB31" i="6"/>
  <c r="BC31" i="6"/>
  <c r="CC31" i="6"/>
  <c r="CR12" i="6"/>
  <c r="DX12" i="6" s="1"/>
  <c r="BP32" i="6"/>
  <c r="BP27" i="6"/>
  <c r="DD29" i="6"/>
  <c r="CT24" i="6"/>
  <c r="BD24" i="6"/>
  <c r="DD27" i="6"/>
  <c r="CR20" i="6"/>
  <c r="DX20" i="6" s="1"/>
  <c r="BO24" i="6"/>
  <c r="CQ26" i="6"/>
  <c r="DQ26" i="6"/>
  <c r="CS26" i="6"/>
  <c r="DE26" i="6"/>
  <c r="DR26" i="6"/>
  <c r="DG26" i="6"/>
  <c r="DS26" i="6"/>
  <c r="CU26" i="6"/>
  <c r="DH26" i="6"/>
  <c r="DT26" i="6"/>
  <c r="BY26" i="6"/>
  <c r="CV26" i="6"/>
  <c r="DI26" i="6"/>
  <c r="DU26" i="6"/>
  <c r="CW26" i="6"/>
  <c r="DJ26" i="6"/>
  <c r="DV26" i="6"/>
  <c r="CX26" i="6"/>
  <c r="DK26" i="6"/>
  <c r="CL26" i="6"/>
  <c r="CY26" i="6"/>
  <c r="DL26" i="6"/>
  <c r="CM26" i="6"/>
  <c r="CZ26" i="6"/>
  <c r="DM26" i="6"/>
  <c r="CN26" i="6"/>
  <c r="DA26" i="6"/>
  <c r="DN26" i="6"/>
  <c r="CO26" i="6"/>
  <c r="DB26" i="6"/>
  <c r="DO26" i="6"/>
  <c r="CP26" i="6"/>
  <c r="DC26" i="6"/>
  <c r="DP26" i="6"/>
  <c r="AY26" i="6"/>
  <c r="BK26" i="6"/>
  <c r="BX26" i="6"/>
  <c r="AZ26" i="6"/>
  <c r="BL26" i="6"/>
  <c r="BZ26" i="6"/>
  <c r="BA26" i="6"/>
  <c r="BM26" i="6"/>
  <c r="CA26" i="6"/>
  <c r="BB26" i="6"/>
  <c r="BN26" i="6"/>
  <c r="CB26" i="6"/>
  <c r="BC26" i="6"/>
  <c r="CC26" i="6"/>
  <c r="CD26" i="6"/>
  <c r="BE26" i="6"/>
  <c r="BR26" i="6"/>
  <c r="CE26" i="6"/>
  <c r="BF26" i="6"/>
  <c r="BS26" i="6"/>
  <c r="CF26" i="6"/>
  <c r="BG26" i="6"/>
  <c r="BT26" i="6"/>
  <c r="CG26" i="6"/>
  <c r="BH26" i="6"/>
  <c r="BU26" i="6"/>
  <c r="AW26" i="6"/>
  <c r="BI26" i="6"/>
  <c r="BV26" i="6"/>
  <c r="AX26" i="6"/>
  <c r="BJ26" i="6"/>
  <c r="BW26" i="6"/>
  <c r="BP25" i="6"/>
  <c r="BP33" i="6"/>
  <c r="DG28" i="6"/>
  <c r="DS28" i="6"/>
  <c r="CU28" i="6"/>
  <c r="DH28" i="6"/>
  <c r="DT28" i="6"/>
  <c r="CV28" i="6"/>
  <c r="DI28" i="6"/>
  <c r="DU28" i="6"/>
  <c r="CW28" i="6"/>
  <c r="DJ28" i="6"/>
  <c r="DV28" i="6"/>
  <c r="CX28" i="6"/>
  <c r="DK28" i="6"/>
  <c r="CL28" i="6"/>
  <c r="CY28" i="6"/>
  <c r="DL28" i="6"/>
  <c r="BY28" i="6"/>
  <c r="CM28" i="6"/>
  <c r="CZ28" i="6"/>
  <c r="DM28" i="6"/>
  <c r="CN28" i="6"/>
  <c r="DA28" i="6"/>
  <c r="DN28" i="6"/>
  <c r="CO28" i="6"/>
  <c r="DB28" i="6"/>
  <c r="DO28" i="6"/>
  <c r="CP28" i="6"/>
  <c r="DC28" i="6"/>
  <c r="DP28" i="6"/>
  <c r="CQ28" i="6"/>
  <c r="DQ28" i="6"/>
  <c r="CS28" i="6"/>
  <c r="DE28" i="6"/>
  <c r="DR28" i="6"/>
  <c r="BA28" i="6"/>
  <c r="BM28" i="6"/>
  <c r="CA28" i="6"/>
  <c r="BB28" i="6"/>
  <c r="BN28" i="6"/>
  <c r="CB28" i="6"/>
  <c r="BC28" i="6"/>
  <c r="CC28" i="6"/>
  <c r="CD28" i="6"/>
  <c r="BE28" i="6"/>
  <c r="BR28" i="6"/>
  <c r="CE28" i="6"/>
  <c r="BF28" i="6"/>
  <c r="BS28" i="6"/>
  <c r="CF28" i="6"/>
  <c r="BG28" i="6"/>
  <c r="BT28" i="6"/>
  <c r="CG28" i="6"/>
  <c r="BH28" i="6"/>
  <c r="BU28" i="6"/>
  <c r="AW28" i="6"/>
  <c r="BI28" i="6"/>
  <c r="BV28" i="6"/>
  <c r="AX28" i="6"/>
  <c r="BJ28" i="6"/>
  <c r="BW28" i="6"/>
  <c r="AY28" i="6"/>
  <c r="BK28" i="6"/>
  <c r="BX28" i="6"/>
  <c r="AZ28" i="6"/>
  <c r="BL28" i="6"/>
  <c r="BZ28" i="6"/>
  <c r="CM34" i="6"/>
  <c r="CZ34" i="6"/>
  <c r="DM34" i="6"/>
  <c r="CN34" i="6"/>
  <c r="DA34" i="6"/>
  <c r="DN34" i="6"/>
  <c r="CO34" i="6"/>
  <c r="DB34" i="6"/>
  <c r="DO34" i="6"/>
  <c r="CP34" i="6"/>
  <c r="DC34" i="6"/>
  <c r="DP34" i="6"/>
  <c r="CQ34" i="6"/>
  <c r="DQ34" i="6"/>
  <c r="CS34" i="6"/>
  <c r="DE34" i="6"/>
  <c r="DR34" i="6"/>
  <c r="DG34" i="6"/>
  <c r="DS34" i="6"/>
  <c r="CU34" i="6"/>
  <c r="DH34" i="6"/>
  <c r="DT34" i="6"/>
  <c r="CV34" i="6"/>
  <c r="DI34" i="6"/>
  <c r="DU34" i="6"/>
  <c r="CW34" i="6"/>
  <c r="DJ34" i="6"/>
  <c r="DV34" i="6"/>
  <c r="CX34" i="6"/>
  <c r="DK34" i="6"/>
  <c r="CL34" i="6"/>
  <c r="CY34" i="6"/>
  <c r="DL34" i="6"/>
  <c r="BG34" i="6"/>
  <c r="BT34" i="6"/>
  <c r="CG34" i="6"/>
  <c r="BH34" i="6"/>
  <c r="BU34" i="6"/>
  <c r="AW34" i="6"/>
  <c r="BI34" i="6"/>
  <c r="BV34" i="6"/>
  <c r="AX34" i="6"/>
  <c r="BJ34" i="6"/>
  <c r="BW34" i="6"/>
  <c r="AY34" i="6"/>
  <c r="BK34" i="6"/>
  <c r="BX34" i="6"/>
  <c r="AZ34" i="6"/>
  <c r="BL34" i="6"/>
  <c r="BZ34" i="6"/>
  <c r="BA34" i="6"/>
  <c r="BM34" i="6"/>
  <c r="CA34" i="6"/>
  <c r="BY34" i="6"/>
  <c r="BB34" i="6"/>
  <c r="BN34" i="6"/>
  <c r="CB34" i="6"/>
  <c r="BC34" i="6"/>
  <c r="CC34" i="6"/>
  <c r="CD34" i="6"/>
  <c r="BE34" i="6"/>
  <c r="BR34" i="6"/>
  <c r="CE34" i="6"/>
  <c r="BF34" i="6"/>
  <c r="BS34" i="6"/>
  <c r="CF34" i="6"/>
  <c r="CT34" i="6"/>
  <c r="BD34" i="6"/>
  <c r="DD33" i="6"/>
  <c r="BP24" i="6"/>
  <c r="CS27" i="6"/>
  <c r="DE27" i="6"/>
  <c r="DR27" i="6"/>
  <c r="DG27" i="6"/>
  <c r="DS27" i="6"/>
  <c r="CU27" i="6"/>
  <c r="DH27" i="6"/>
  <c r="DT27" i="6"/>
  <c r="CV27" i="6"/>
  <c r="DI27" i="6"/>
  <c r="DU27" i="6"/>
  <c r="CW27" i="6"/>
  <c r="DJ27" i="6"/>
  <c r="DV27" i="6"/>
  <c r="BY27" i="6"/>
  <c r="CX27" i="6"/>
  <c r="DK27" i="6"/>
  <c r="CL27" i="6"/>
  <c r="CY27" i="6"/>
  <c r="DL27" i="6"/>
  <c r="CM27" i="6"/>
  <c r="CZ27" i="6"/>
  <c r="DM27" i="6"/>
  <c r="CN27" i="6"/>
  <c r="DA27" i="6"/>
  <c r="DN27" i="6"/>
  <c r="CO27" i="6"/>
  <c r="DB27" i="6"/>
  <c r="DO27" i="6"/>
  <c r="CP27" i="6"/>
  <c r="DC27" i="6"/>
  <c r="DP27" i="6"/>
  <c r="CQ27" i="6"/>
  <c r="DQ27" i="6"/>
  <c r="AZ27" i="6"/>
  <c r="BL27" i="6"/>
  <c r="BZ27" i="6"/>
  <c r="BA27" i="6"/>
  <c r="BM27" i="6"/>
  <c r="CA27" i="6"/>
  <c r="BB27" i="6"/>
  <c r="BN27" i="6"/>
  <c r="CB27" i="6"/>
  <c r="BC27" i="6"/>
  <c r="CC27" i="6"/>
  <c r="CD27" i="6"/>
  <c r="BE27" i="6"/>
  <c r="BR27" i="6"/>
  <c r="CE27" i="6"/>
  <c r="BF27" i="6"/>
  <c r="BS27" i="6"/>
  <c r="CF27" i="6"/>
  <c r="BG27" i="6"/>
  <c r="BT27" i="6"/>
  <c r="CG27" i="6"/>
  <c r="BH27" i="6"/>
  <c r="BU27" i="6"/>
  <c r="AW27" i="6"/>
  <c r="BI27" i="6"/>
  <c r="BV27" i="6"/>
  <c r="AX27" i="6"/>
  <c r="BJ27" i="6"/>
  <c r="BW27" i="6"/>
  <c r="AY27" i="6"/>
  <c r="BK27" i="6"/>
  <c r="BX27" i="6"/>
  <c r="CV30" i="6"/>
  <c r="DI30" i="6"/>
  <c r="DU30" i="6"/>
  <c r="CW30" i="6"/>
  <c r="DJ30" i="6"/>
  <c r="DV30" i="6"/>
  <c r="CX30" i="6"/>
  <c r="DK30" i="6"/>
  <c r="CL30" i="6"/>
  <c r="CY30" i="6"/>
  <c r="DL30" i="6"/>
  <c r="CM30" i="6"/>
  <c r="CZ30" i="6"/>
  <c r="DM30" i="6"/>
  <c r="CN30" i="6"/>
  <c r="DA30" i="6"/>
  <c r="DN30" i="6"/>
  <c r="CO30" i="6"/>
  <c r="DB30" i="6"/>
  <c r="DO30" i="6"/>
  <c r="CP30" i="6"/>
  <c r="DC30" i="6"/>
  <c r="DP30" i="6"/>
  <c r="CQ30" i="6"/>
  <c r="DQ30" i="6"/>
  <c r="CS30" i="6"/>
  <c r="DE30" i="6"/>
  <c r="DR30" i="6"/>
  <c r="DG30" i="6"/>
  <c r="DS30" i="6"/>
  <c r="CU30" i="6"/>
  <c r="DH30" i="6"/>
  <c r="DT30" i="6"/>
  <c r="BC30" i="6"/>
  <c r="CC30" i="6"/>
  <c r="CD30" i="6"/>
  <c r="BE30" i="6"/>
  <c r="BR30" i="6"/>
  <c r="CE30" i="6"/>
  <c r="BY30" i="6"/>
  <c r="BF30" i="6"/>
  <c r="BS30" i="6"/>
  <c r="CF30" i="6"/>
  <c r="BG30" i="6"/>
  <c r="BT30" i="6"/>
  <c r="CG30" i="6"/>
  <c r="BH30" i="6"/>
  <c r="BU30" i="6"/>
  <c r="AW30" i="6"/>
  <c r="BI30" i="6"/>
  <c r="BV30" i="6"/>
  <c r="AX30" i="6"/>
  <c r="BJ30" i="6"/>
  <c r="BW30" i="6"/>
  <c r="AY30" i="6"/>
  <c r="BK30" i="6"/>
  <c r="BX30" i="6"/>
  <c r="AZ30" i="6"/>
  <c r="BL30" i="6"/>
  <c r="BZ30" i="6"/>
  <c r="BA30" i="6"/>
  <c r="BM30" i="6"/>
  <c r="CA30" i="6"/>
  <c r="BB30" i="6"/>
  <c r="BN30" i="6"/>
  <c r="CB30" i="6"/>
  <c r="BP31" i="6"/>
  <c r="BO26" i="6"/>
  <c r="CT26" i="6"/>
  <c r="BD26" i="6"/>
  <c r="BO28" i="6"/>
  <c r="CT27" i="6"/>
  <c r="BD27" i="6"/>
  <c r="CX32" i="6"/>
  <c r="DK32" i="6"/>
  <c r="CL32" i="6"/>
  <c r="CY32" i="6"/>
  <c r="DL32" i="6"/>
  <c r="CM32" i="6"/>
  <c r="CZ32" i="6"/>
  <c r="DM32" i="6"/>
  <c r="CN32" i="6"/>
  <c r="DA32" i="6"/>
  <c r="DN32" i="6"/>
  <c r="CO32" i="6"/>
  <c r="DB32" i="6"/>
  <c r="DO32" i="6"/>
  <c r="CP32" i="6"/>
  <c r="DC32" i="6"/>
  <c r="DP32" i="6"/>
  <c r="CQ32" i="6"/>
  <c r="DQ32" i="6"/>
  <c r="CS32" i="6"/>
  <c r="DE32" i="6"/>
  <c r="DR32" i="6"/>
  <c r="DG32" i="6"/>
  <c r="DS32" i="6"/>
  <c r="CU32" i="6"/>
  <c r="DH32" i="6"/>
  <c r="DT32" i="6"/>
  <c r="CV32" i="6"/>
  <c r="DI32" i="6"/>
  <c r="DU32" i="6"/>
  <c r="CW32" i="6"/>
  <c r="DJ32" i="6"/>
  <c r="DV32" i="6"/>
  <c r="BE32" i="6"/>
  <c r="BR32" i="6"/>
  <c r="CE32" i="6"/>
  <c r="BF32" i="6"/>
  <c r="BS32" i="6"/>
  <c r="CF32" i="6"/>
  <c r="BG32" i="6"/>
  <c r="BT32" i="6"/>
  <c r="CG32" i="6"/>
  <c r="BH32" i="6"/>
  <c r="BU32" i="6"/>
  <c r="AW32" i="6"/>
  <c r="BI32" i="6"/>
  <c r="BV32" i="6"/>
  <c r="BY32" i="6"/>
  <c r="AX32" i="6"/>
  <c r="BJ32" i="6"/>
  <c r="BW32" i="6"/>
  <c r="AY32" i="6"/>
  <c r="BK32" i="6"/>
  <c r="BX32" i="6"/>
  <c r="AZ32" i="6"/>
  <c r="BL32" i="6"/>
  <c r="BZ32" i="6"/>
  <c r="BA32" i="6"/>
  <c r="BM32" i="6"/>
  <c r="CA32" i="6"/>
  <c r="BB32" i="6"/>
  <c r="BN32" i="6"/>
  <c r="CB32" i="6"/>
  <c r="BC32" i="6"/>
  <c r="CC32" i="6"/>
  <c r="CD32" i="6"/>
  <c r="CL33" i="6"/>
  <c r="CY33" i="6"/>
  <c r="DL33" i="6"/>
  <c r="CM33" i="6"/>
  <c r="CZ33" i="6"/>
  <c r="DM33" i="6"/>
  <c r="CN33" i="6"/>
  <c r="DA33" i="6"/>
  <c r="DN33" i="6"/>
  <c r="CO33" i="6"/>
  <c r="DB33" i="6"/>
  <c r="DO33" i="6"/>
  <c r="CP33" i="6"/>
  <c r="DC33" i="6"/>
  <c r="DP33" i="6"/>
  <c r="CQ33" i="6"/>
  <c r="DQ33" i="6"/>
  <c r="CS33" i="6"/>
  <c r="DE33" i="6"/>
  <c r="DR33" i="6"/>
  <c r="DG33" i="6"/>
  <c r="DS33" i="6"/>
  <c r="CU33" i="6"/>
  <c r="DH33" i="6"/>
  <c r="DT33" i="6"/>
  <c r="CV33" i="6"/>
  <c r="DI33" i="6"/>
  <c r="DU33" i="6"/>
  <c r="CW33" i="6"/>
  <c r="DJ33" i="6"/>
  <c r="DV33" i="6"/>
  <c r="CX33" i="6"/>
  <c r="DK33" i="6"/>
  <c r="BF33" i="6"/>
  <c r="BS33" i="6"/>
  <c r="CF33" i="6"/>
  <c r="BG33" i="6"/>
  <c r="BT33" i="6"/>
  <c r="CG33" i="6"/>
  <c r="BH33" i="6"/>
  <c r="BU33" i="6"/>
  <c r="AW33" i="6"/>
  <c r="BI33" i="6"/>
  <c r="BV33" i="6"/>
  <c r="AX33" i="6"/>
  <c r="BJ33" i="6"/>
  <c r="BW33" i="6"/>
  <c r="AY33" i="6"/>
  <c r="BK33" i="6"/>
  <c r="BX33" i="6"/>
  <c r="BY33" i="6"/>
  <c r="AZ33" i="6"/>
  <c r="BL33" i="6"/>
  <c r="BZ33" i="6"/>
  <c r="BA33" i="6"/>
  <c r="BM33" i="6"/>
  <c r="CA33" i="6"/>
  <c r="BB33" i="6"/>
  <c r="BN33" i="6"/>
  <c r="CB33" i="6"/>
  <c r="BC33" i="6"/>
  <c r="CC33" i="6"/>
  <c r="CD33" i="6"/>
  <c r="BE33" i="6"/>
  <c r="BR33" i="6"/>
  <c r="CE33" i="6"/>
  <c r="DD31" i="6"/>
  <c r="BO32" i="6"/>
  <c r="BO34" i="6"/>
  <c r="CR14" i="6"/>
  <c r="DX14" i="6" s="1"/>
  <c r="DX9" i="6"/>
  <c r="CO24" i="6"/>
  <c r="DB24" i="6"/>
  <c r="DO24" i="6"/>
  <c r="CP24" i="6"/>
  <c r="DC24" i="6"/>
  <c r="DP24" i="6"/>
  <c r="BY24" i="6"/>
  <c r="CQ24" i="6"/>
  <c r="DQ24" i="6"/>
  <c r="CS24" i="6"/>
  <c r="DE24" i="6"/>
  <c r="DR24" i="6"/>
  <c r="DG24" i="6"/>
  <c r="DS24" i="6"/>
  <c r="CU24" i="6"/>
  <c r="DH24" i="6"/>
  <c r="DT24" i="6"/>
  <c r="CV24" i="6"/>
  <c r="DI24" i="6"/>
  <c r="DU24" i="6"/>
  <c r="CW24" i="6"/>
  <c r="DJ24" i="6"/>
  <c r="DV24" i="6"/>
  <c r="CX24" i="6"/>
  <c r="DK24" i="6"/>
  <c r="CL24" i="6"/>
  <c r="CY24" i="6"/>
  <c r="DL24" i="6"/>
  <c r="CM24" i="6"/>
  <c r="CZ24" i="6"/>
  <c r="DM24" i="6"/>
  <c r="CN24" i="6"/>
  <c r="DA24" i="6"/>
  <c r="DN24" i="6"/>
  <c r="AW24" i="6"/>
  <c r="BI24" i="6"/>
  <c r="BV24" i="6"/>
  <c r="AX24" i="6"/>
  <c r="BJ24" i="6"/>
  <c r="BW24" i="6"/>
  <c r="AY24" i="6"/>
  <c r="BK24" i="6"/>
  <c r="BX24" i="6"/>
  <c r="AZ24" i="6"/>
  <c r="BL24" i="6"/>
  <c r="BZ24" i="6"/>
  <c r="BA24" i="6"/>
  <c r="BM24" i="6"/>
  <c r="CA24" i="6"/>
  <c r="BB24" i="6"/>
  <c r="BN24" i="6"/>
  <c r="CB24" i="6"/>
  <c r="BC24" i="6"/>
  <c r="CC24" i="6"/>
  <c r="CD24" i="6"/>
  <c r="BE24" i="6"/>
  <c r="BR24" i="6"/>
  <c r="CE24" i="6"/>
  <c r="BF24" i="6"/>
  <c r="BS24" i="6"/>
  <c r="CF24" i="6"/>
  <c r="BG24" i="6"/>
  <c r="BT24" i="6"/>
  <c r="CG24" i="6"/>
  <c r="BH24" i="6"/>
  <c r="BU24" i="6"/>
  <c r="CP25" i="6"/>
  <c r="DC25" i="6"/>
  <c r="DP25" i="6"/>
  <c r="CQ25" i="6"/>
  <c r="DQ25" i="6"/>
  <c r="CS25" i="6"/>
  <c r="DE25" i="6"/>
  <c r="DR25" i="6"/>
  <c r="BY25" i="6"/>
  <c r="DG25" i="6"/>
  <c r="DS25" i="6"/>
  <c r="CU25" i="6"/>
  <c r="DH25" i="6"/>
  <c r="DT25" i="6"/>
  <c r="CV25" i="6"/>
  <c r="DI25" i="6"/>
  <c r="DU25" i="6"/>
  <c r="CW25" i="6"/>
  <c r="DJ25" i="6"/>
  <c r="DV25" i="6"/>
  <c r="CX25" i="6"/>
  <c r="DK25" i="6"/>
  <c r="CL25" i="6"/>
  <c r="CY25" i="6"/>
  <c r="DL25" i="6"/>
  <c r="CM25" i="6"/>
  <c r="CZ25" i="6"/>
  <c r="DM25" i="6"/>
  <c r="CN25" i="6"/>
  <c r="DA25" i="6"/>
  <c r="DN25" i="6"/>
  <c r="CO25" i="6"/>
  <c r="DB25" i="6"/>
  <c r="DO25" i="6"/>
  <c r="AX25" i="6"/>
  <c r="BJ25" i="6"/>
  <c r="BW25" i="6"/>
  <c r="AY25" i="6"/>
  <c r="BK25" i="6"/>
  <c r="BX25" i="6"/>
  <c r="AZ25" i="6"/>
  <c r="BL25" i="6"/>
  <c r="BZ25" i="6"/>
  <c r="BA25" i="6"/>
  <c r="BM25" i="6"/>
  <c r="CA25" i="6"/>
  <c r="BB25" i="6"/>
  <c r="BN25" i="6"/>
  <c r="CB25" i="6"/>
  <c r="BC25" i="6"/>
  <c r="CC25" i="6"/>
  <c r="CD25" i="6"/>
  <c r="BE25" i="6"/>
  <c r="BR25" i="6"/>
  <c r="CE25" i="6"/>
  <c r="BF25" i="6"/>
  <c r="BS25" i="6"/>
  <c r="CF25" i="6"/>
  <c r="BG25" i="6"/>
  <c r="BT25" i="6"/>
  <c r="CG25" i="6"/>
  <c r="BH25" i="6"/>
  <c r="BU25" i="6"/>
  <c r="AW25" i="6"/>
  <c r="BI25" i="6"/>
  <c r="BV25" i="6"/>
  <c r="CU29" i="6"/>
  <c r="DH29" i="6"/>
  <c r="DT29" i="6"/>
  <c r="CV29" i="6"/>
  <c r="DI29" i="6"/>
  <c r="DU29" i="6"/>
  <c r="CW29" i="6"/>
  <c r="DJ29" i="6"/>
  <c r="DV29" i="6"/>
  <c r="CX29" i="6"/>
  <c r="DK29" i="6"/>
  <c r="CL29" i="6"/>
  <c r="CY29" i="6"/>
  <c r="DL29" i="6"/>
  <c r="CM29" i="6"/>
  <c r="CZ29" i="6"/>
  <c r="DM29" i="6"/>
  <c r="CN29" i="6"/>
  <c r="DA29" i="6"/>
  <c r="DN29" i="6"/>
  <c r="CO29" i="6"/>
  <c r="DB29" i="6"/>
  <c r="DO29" i="6"/>
  <c r="CP29" i="6"/>
  <c r="DC29" i="6"/>
  <c r="DP29" i="6"/>
  <c r="CQ29" i="6"/>
  <c r="DQ29" i="6"/>
  <c r="CS29" i="6"/>
  <c r="DE29" i="6"/>
  <c r="DR29" i="6"/>
  <c r="DG29" i="6"/>
  <c r="DS29" i="6"/>
  <c r="BB29" i="6"/>
  <c r="BN29" i="6"/>
  <c r="CB29" i="6"/>
  <c r="BC29" i="6"/>
  <c r="CC29" i="6"/>
  <c r="BY29" i="6"/>
  <c r="CD29" i="6"/>
  <c r="BE29" i="6"/>
  <c r="BR29" i="6"/>
  <c r="CE29" i="6"/>
  <c r="BF29" i="6"/>
  <c r="BS29" i="6"/>
  <c r="CF29" i="6"/>
  <c r="BG29" i="6"/>
  <c r="BT29" i="6"/>
  <c r="CG29" i="6"/>
  <c r="BH29" i="6"/>
  <c r="BU29" i="6"/>
  <c r="AW29" i="6"/>
  <c r="BI29" i="6"/>
  <c r="BV29" i="6"/>
  <c r="AX29" i="6"/>
  <c r="BJ29" i="6"/>
  <c r="BW29" i="6"/>
  <c r="AY29" i="6"/>
  <c r="BK29" i="6"/>
  <c r="BX29" i="6"/>
  <c r="AZ29" i="6"/>
  <c r="BL29" i="6"/>
  <c r="BZ29" i="6"/>
  <c r="BA29" i="6"/>
  <c r="BM29" i="6"/>
  <c r="CA29" i="6"/>
  <c r="CT31" i="6"/>
  <c r="BD31" i="6"/>
  <c r="DD30" i="6"/>
  <c r="CT25" i="6"/>
  <c r="BD25" i="6"/>
  <c r="CT29" i="6"/>
  <c r="BD29" i="6"/>
  <c r="CT30" i="6"/>
  <c r="BD30" i="6"/>
  <c r="AG3" i="15"/>
  <c r="AG2" i="15" l="1"/>
  <c r="CR24" i="6"/>
  <c r="CR25" i="6"/>
  <c r="CR34" i="6"/>
  <c r="CR31" i="6"/>
  <c r="CR28" i="6"/>
  <c r="DX25" i="6"/>
  <c r="DX34" i="6"/>
  <c r="DX31" i="6"/>
  <c r="DX28" i="6"/>
  <c r="DX24" i="6"/>
  <c r="CR27" i="6"/>
  <c r="DX27" i="6" s="1"/>
  <c r="CR26" i="6"/>
  <c r="DX26" i="6" s="1"/>
  <c r="CR29" i="6"/>
  <c r="DX29" i="6" s="1"/>
  <c r="CR33" i="6"/>
  <c r="DX33" i="6" s="1"/>
  <c r="CR30" i="6"/>
  <c r="DX30" i="6" s="1"/>
  <c r="CR32" i="6"/>
  <c r="DX32" i="6" s="1"/>
  <c r="K24" i="9" l="1"/>
  <c r="I24" i="9"/>
  <c r="G24" i="9"/>
  <c r="C24" i="9"/>
  <c r="B6" i="3"/>
  <c r="BK1" i="12" l="1"/>
  <c r="BI1" i="12"/>
  <c r="BJ1" i="12"/>
  <c r="AY1" i="12"/>
  <c r="AZ1" i="12"/>
  <c r="BA1" i="12"/>
  <c r="BB1" i="12"/>
  <c r="BC1" i="12"/>
  <c r="BD1" i="12"/>
  <c r="BE1" i="12"/>
  <c r="BF1" i="12"/>
  <c r="BG1" i="12"/>
  <c r="BH1" i="12"/>
  <c r="AX1" i="12"/>
  <c r="AV1" i="12"/>
  <c r="AI1" i="12"/>
  <c r="AJ1" i="12"/>
  <c r="AK1" i="12"/>
  <c r="AL1" i="12"/>
  <c r="AM1" i="12"/>
  <c r="AN1" i="12"/>
  <c r="AO1" i="12"/>
  <c r="AP1" i="12"/>
  <c r="AQ1" i="12"/>
  <c r="AR1" i="12"/>
  <c r="AS1" i="12"/>
  <c r="AT1" i="12"/>
  <c r="AU1" i="12"/>
  <c r="AH1" i="12"/>
  <c r="AF1" i="12"/>
  <c r="AC1" i="12"/>
  <c r="AD1" i="12"/>
  <c r="AE1" i="12"/>
  <c r="N1" i="12"/>
  <c r="O1" i="12"/>
  <c r="P1" i="12"/>
  <c r="Q1" i="12"/>
  <c r="R1" i="12"/>
  <c r="S1" i="12"/>
  <c r="T1" i="12"/>
  <c r="U1" i="12"/>
  <c r="V1" i="12"/>
  <c r="W1" i="12"/>
  <c r="X1" i="12"/>
  <c r="Y1" i="12"/>
  <c r="Z1" i="12"/>
  <c r="AA1" i="12"/>
  <c r="AB1" i="12"/>
  <c r="M1" i="12"/>
  <c r="C3" i="12"/>
  <c r="C4" i="12"/>
  <c r="C5" i="12"/>
  <c r="C6" i="12"/>
  <c r="C7" i="12"/>
  <c r="C8" i="12"/>
  <c r="C9" i="12"/>
  <c r="C10" i="12"/>
  <c r="C11" i="12"/>
  <c r="C12" i="12"/>
  <c r="C13" i="12"/>
  <c r="C14" i="12"/>
  <c r="C15" i="12"/>
  <c r="C2" i="12"/>
  <c r="B3" i="12"/>
  <c r="B4" i="12"/>
  <c r="B5" i="12"/>
  <c r="B6" i="12"/>
  <c r="B7" i="12"/>
  <c r="B8" i="12"/>
  <c r="B9" i="12"/>
  <c r="B10" i="12"/>
  <c r="B11" i="12"/>
  <c r="B12" i="12"/>
  <c r="B13" i="12"/>
  <c r="B14" i="12"/>
  <c r="B15" i="12"/>
  <c r="B2" i="12"/>
  <c r="G34" i="2"/>
  <c r="AR3" i="12"/>
  <c r="AL3" i="12" s="1"/>
  <c r="AH3" i="12" s="1"/>
  <c r="AH13" i="12" s="1"/>
  <c r="AT13" i="12" s="1"/>
  <c r="AJ13" i="12" s="1"/>
  <c r="AL13" i="12" s="1"/>
  <c r="AH9" i="12" s="1"/>
  <c r="AK9" i="12" s="1"/>
  <c r="AQ9" i="12" s="1"/>
  <c r="AV8" i="12" s="1"/>
  <c r="AK8" i="12" s="1"/>
  <c r="AI8" i="12" s="1"/>
  <c r="AO7" i="12" s="1"/>
  <c r="AQ7" i="12" s="1"/>
  <c r="AH7" i="12" s="1"/>
  <c r="AU7" i="12" s="1"/>
  <c r="AS6" i="12" s="1"/>
  <c r="AH6" i="12" s="1"/>
  <c r="AV6" i="12" s="1"/>
  <c r="AM6" i="12" s="1"/>
  <c r="AS5" i="12" s="1"/>
  <c r="AH5" i="12" s="1"/>
  <c r="AK5" i="12" s="1"/>
  <c r="AN5" i="12" s="1"/>
  <c r="AQ5" i="12" s="1"/>
  <c r="AR5" i="12" s="1"/>
  <c r="AN4" i="12" s="1"/>
  <c r="AQ15" i="12" s="1"/>
  <c r="AS15" i="12" s="1"/>
  <c r="AT15" i="12" s="1"/>
  <c r="AI15" i="12" s="1"/>
  <c r="AJ15" i="12" s="1"/>
  <c r="AR14" i="12" s="1"/>
  <c r="AH14" i="12" s="1"/>
  <c r="AT14" i="12" s="1"/>
  <c r="AL14" i="12" s="1"/>
  <c r="AO14" i="12" s="1"/>
  <c r="AJ12" i="12" s="1"/>
  <c r="AM12" i="12" s="1"/>
  <c r="AO12" i="12" s="1"/>
  <c r="AP12" i="12" s="1"/>
  <c r="AS12" i="12" s="1"/>
  <c r="AH12" i="12" s="1"/>
  <c r="AT12" i="12" s="1"/>
  <c r="AU12" i="12" s="1"/>
  <c r="AM11" i="12" s="1"/>
  <c r="AN11" i="12" s="1"/>
  <c r="AO11" i="12" s="1"/>
  <c r="AR11" i="12" s="1"/>
  <c r="AS11" i="12" s="1"/>
  <c r="AH11" i="12" s="1"/>
  <c r="AU11" i="12" s="1"/>
  <c r="AJ11" i="12" s="1"/>
  <c r="AK11" i="12" s="1"/>
  <c r="AL11" i="12" s="1"/>
  <c r="AP10" i="12" s="1"/>
  <c r="AS10" i="12" s="1"/>
  <c r="AH10" i="12" s="1"/>
  <c r="AI10" i="12" s="1"/>
  <c r="AU10" i="12" s="1"/>
  <c r="AV10" i="12" s="1"/>
  <c r="AQ3" i="12" s="1"/>
  <c r="AR6" i="12"/>
  <c r="AH4" i="12"/>
  <c r="AH15" i="12"/>
  <c r="AT8" i="12"/>
  <c r="AK6" i="12"/>
  <c r="AL5" i="12"/>
  <c r="AR12" i="12"/>
  <c r="AN6" i="12"/>
  <c r="AN12" i="12"/>
  <c r="AQ11" i="12"/>
  <c r="AR9" i="12"/>
  <c r="AR15" i="12"/>
  <c r="AJ9" i="12"/>
  <c r="AL12" i="12"/>
  <c r="AT7" i="12"/>
  <c r="AK4" i="12"/>
  <c r="AS7" i="12"/>
  <c r="AC9" i="12" s="1"/>
  <c r="AO15" i="12"/>
  <c r="AL15" i="12"/>
  <c r="AI9" i="12"/>
  <c r="AU9" i="12"/>
  <c r="AP9" i="12"/>
  <c r="AM9" i="12"/>
  <c r="AN9" i="12"/>
  <c r="AO9" i="12"/>
  <c r="AT9" i="12"/>
  <c r="AV9" i="12"/>
  <c r="AU14" i="12"/>
  <c r="AI13" i="12"/>
  <c r="AU13" i="12"/>
  <c r="AK13" i="12"/>
  <c r="AP13" i="12"/>
  <c r="AN13" i="12"/>
  <c r="AV13" i="12"/>
  <c r="AH8" i="12"/>
  <c r="AU15" i="12"/>
  <c r="AK15" i="12"/>
  <c r="AP15" i="12"/>
  <c r="AV15" i="12"/>
  <c r="AM15" i="12"/>
  <c r="AN15" i="12"/>
  <c r="AP14" i="12"/>
  <c r="AO8" i="12"/>
  <c r="AP8" i="12"/>
  <c r="AQ8" i="12"/>
  <c r="AJ8" i="12"/>
  <c r="AL8" i="12"/>
  <c r="AM8" i="12"/>
  <c r="AN8" i="12"/>
  <c r="AR8" i="12"/>
  <c r="AS8" i="12"/>
  <c r="AU8" i="12"/>
  <c r="AN14" i="12"/>
  <c r="AQ12" i="12"/>
  <c r="AV12" i="12"/>
  <c r="AI12" i="12"/>
  <c r="AK12" i="12"/>
  <c r="AT10" i="12"/>
  <c r="M15" i="12" s="1"/>
  <c r="R15" i="12" s="1"/>
  <c r="AM14" i="12"/>
  <c r="AS13" i="12"/>
  <c r="AD15" i="12" s="1"/>
  <c r="AR13" i="12"/>
  <c r="AN10" i="12"/>
  <c r="AC15" i="12" s="1"/>
  <c r="AI14" i="12"/>
  <c r="AQ13" i="12"/>
  <c r="AT11" i="12"/>
  <c r="AS9" i="12"/>
  <c r="AB15" i="12" s="1"/>
  <c r="AO13" i="12"/>
  <c r="AO10" i="12"/>
  <c r="AQ10" i="12"/>
  <c r="AJ10" i="12"/>
  <c r="AK10" i="12"/>
  <c r="AL10" i="12"/>
  <c r="AM10" i="12"/>
  <c r="AR10" i="12"/>
  <c r="AQ14" i="12"/>
  <c r="AJ14" i="12"/>
  <c r="AV14" i="12"/>
  <c r="AK14" i="12"/>
  <c r="AS14" i="12"/>
  <c r="AM13" i="12"/>
  <c r="AL9" i="12"/>
  <c r="AL6" i="12"/>
  <c r="AM4" i="12"/>
  <c r="AS4" i="12"/>
  <c r="R9" i="12" s="1"/>
  <c r="AR7" i="12"/>
  <c r="AO6" i="12"/>
  <c r="AP6" i="12"/>
  <c r="AQ6" i="12"/>
  <c r="AI6" i="12"/>
  <c r="AU6" i="12"/>
  <c r="AJ6" i="12"/>
  <c r="AI5" i="12"/>
  <c r="AU5" i="12"/>
  <c r="AJ5" i="12"/>
  <c r="AV5" i="12"/>
  <c r="AM5" i="12"/>
  <c r="AO5" i="12"/>
  <c r="AP5" i="12"/>
  <c r="AN7" i="12"/>
  <c r="M9" i="12" s="1"/>
  <c r="AM7" i="12"/>
  <c r="AI11" i="12"/>
  <c r="AP11" i="12"/>
  <c r="AB9" i="12" s="1"/>
  <c r="AL7" i="12"/>
  <c r="AT6" i="12"/>
  <c r="AT4" i="12"/>
  <c r="AS3" i="12" s="1"/>
  <c r="AV11" i="12"/>
  <c r="AR4" i="12"/>
  <c r="AI7" i="12"/>
  <c r="AJ7" i="12"/>
  <c r="AV7" i="12"/>
  <c r="AK7" i="12"/>
  <c r="AP7" i="12"/>
  <c r="AT5" i="12"/>
  <c r="AL4" i="12"/>
  <c r="AV4" i="12"/>
  <c r="AJ4" i="12"/>
  <c r="AP3" i="12" s="1"/>
  <c r="AU4" i="12"/>
  <c r="AI4" i="12"/>
  <c r="AO3" i="12" s="1"/>
  <c r="AN3" i="12" s="1"/>
  <c r="AM3" i="12" s="1"/>
  <c r="AQ4" i="12"/>
  <c r="AK3" i="12" s="1"/>
  <c r="AP4" i="12"/>
  <c r="AV3" i="12" s="1"/>
  <c r="AJ3" i="12" s="1"/>
  <c r="AO4" i="12"/>
  <c r="AU3" i="12" s="1"/>
  <c r="AI3" i="12" s="1"/>
  <c r="AT3" i="12" s="1"/>
  <c r="R11" i="12"/>
  <c r="AB11" i="12" s="1"/>
  <c r="AD11" i="12" s="1"/>
  <c r="AC11" i="12" s="1"/>
  <c r="M11" i="12" s="1"/>
  <c r="BJ13" i="12"/>
  <c r="AB13" i="12"/>
  <c r="V4" i="12"/>
  <c r="AD9" i="12" s="1"/>
  <c r="O8" i="12" s="1"/>
  <c r="N9" i="12"/>
  <c r="BB9" i="12"/>
  <c r="N11" i="12"/>
  <c r="AE11" i="12"/>
  <c r="BJ11" i="12"/>
  <c r="BG8" i="12" s="1"/>
  <c r="AD8" i="12" s="1"/>
  <c r="AE5" i="12"/>
  <c r="U8" i="12"/>
  <c r="AE9" i="12"/>
  <c r="BJ9" i="12"/>
  <c r="N14" i="12"/>
  <c r="S8" i="12"/>
  <c r="BH8" i="12" s="1"/>
  <c r="BB4" i="12" s="1"/>
  <c r="O12" i="12" s="1"/>
  <c r="O4" i="12" s="1"/>
  <c r="Z8" i="12" s="1"/>
  <c r="M8" i="12" s="1"/>
  <c r="AD3" i="12" s="1"/>
  <c r="S13" i="12" s="1"/>
  <c r="AY8" i="12"/>
  <c r="BD9" i="12"/>
  <c r="U9" i="12"/>
  <c r="BI15" i="12"/>
  <c r="Z15" i="12"/>
  <c r="BB15" i="12"/>
  <c r="S15" i="12"/>
  <c r="BE4" i="12"/>
  <c r="BD8" i="12"/>
  <c r="BG15" i="12"/>
  <c r="X15" i="12"/>
  <c r="BE9" i="12"/>
  <c r="V9" i="12"/>
  <c r="BA11" i="12"/>
  <c r="Q11" i="12"/>
  <c r="AZ11" i="12"/>
  <c r="P11" i="12"/>
  <c r="BF9" i="12"/>
  <c r="W9" i="12"/>
  <c r="BC11" i="12"/>
  <c r="T11" i="12"/>
  <c r="AA8" i="12"/>
  <c r="BB8" i="12"/>
  <c r="BC15" i="12"/>
  <c r="T15" i="12"/>
  <c r="AA11" i="12"/>
  <c r="BB13" i="12"/>
  <c r="AA15" i="12"/>
  <c r="AY11" i="12"/>
  <c r="O11" i="12"/>
  <c r="BA9" i="12"/>
  <c r="Q9" i="12"/>
  <c r="BH9" i="12"/>
  <c r="Y9" i="12"/>
  <c r="BI9" i="12"/>
  <c r="Z9" i="12"/>
  <c r="AA9" i="12"/>
  <c r="AY15" i="12"/>
  <c r="O15" i="12"/>
  <c r="BF12" i="12"/>
  <c r="W12" i="12"/>
  <c r="BH11" i="12"/>
  <c r="Y11" i="12"/>
  <c r="AY9" i="12"/>
  <c r="O9" i="12"/>
  <c r="BH15" i="12"/>
  <c r="Y15" i="12"/>
  <c r="BC12" i="12"/>
  <c r="T12" i="12"/>
  <c r="BI6" i="12"/>
  <c r="Z6" i="12"/>
  <c r="BB11" i="12"/>
  <c r="S11" i="12"/>
  <c r="BC9" i="12"/>
  <c r="T9" i="12"/>
  <c r="AZ15" i="12"/>
  <c r="P15" i="12"/>
  <c r="BD15" i="12"/>
  <c r="U15" i="12"/>
  <c r="BE11" i="12"/>
  <c r="V11" i="12"/>
  <c r="BI11" i="12"/>
  <c r="Z11" i="12"/>
  <c r="BF8" i="12"/>
  <c r="W8" i="12"/>
  <c r="BF11" i="12"/>
  <c r="W11" i="12"/>
  <c r="BG11" i="12"/>
  <c r="X11" i="12"/>
  <c r="BE13" i="12"/>
  <c r="V13" i="12"/>
  <c r="AY7" i="12"/>
  <c r="O7" i="12"/>
  <c r="BG9" i="12"/>
  <c r="X9" i="12"/>
  <c r="AZ9" i="12"/>
  <c r="P9" i="12"/>
  <c r="BD11" i="12"/>
  <c r="U11" i="12"/>
  <c r="M6" i="12" s="1"/>
  <c r="M5" i="12" s="1"/>
  <c r="R14" i="12" s="1"/>
  <c r="AD4" i="12" s="1"/>
  <c r="AC5" i="12" s="1"/>
  <c r="M12" i="12" s="1"/>
  <c r="R3" i="12" s="1"/>
  <c r="AD7" i="12" s="1"/>
  <c r="AC12" i="12" s="1"/>
  <c r="AB8" i="12" s="1"/>
  <c r="R8" i="12" s="1"/>
  <c r="AC8" i="12" s="1"/>
  <c r="AX11" i="12"/>
  <c r="AB3" i="12" s="1"/>
  <c r="AC7" i="12" s="1"/>
  <c r="AB12" i="12" s="1"/>
  <c r="AB10" i="12" s="1"/>
  <c r="R4" i="12" s="1"/>
  <c r="R12" i="12" s="1"/>
  <c r="M3" i="12" s="1"/>
  <c r="AC4" i="12" s="1"/>
  <c r="AC10" i="12" s="1"/>
  <c r="AX5" i="12"/>
  <c r="AD10" i="12" s="1"/>
  <c r="M10" i="12" s="1"/>
  <c r="AX15" i="12"/>
  <c r="R10" i="12" s="1"/>
  <c r="AD14" i="12" s="1"/>
  <c r="M4" i="12" s="1"/>
  <c r="AX9" i="12"/>
  <c r="M7" i="12" s="1"/>
  <c r="BJ8" i="12" s="1"/>
  <c r="AC3" i="12" s="1"/>
  <c r="R7" i="12" s="1"/>
  <c r="AC14" i="12" s="1"/>
  <c r="AB5" i="12" s="1"/>
  <c r="AD5" i="12" s="1"/>
  <c r="R5" i="12" s="1"/>
  <c r="AB4" i="12" s="1"/>
  <c r="AB6" i="12" s="1"/>
  <c r="AC6" i="12" s="1"/>
  <c r="AD6" i="12" s="1"/>
  <c r="R6" i="12" s="1"/>
  <c r="AB14" i="12" s="1"/>
  <c r="M14" i="12" s="1"/>
  <c r="AB7" i="12" s="1"/>
  <c r="AX8" i="12"/>
  <c r="AD12" i="12" s="1"/>
  <c r="AX6" i="12"/>
  <c r="S4" i="12" l="1"/>
  <c r="AE13" i="12"/>
  <c r="BI8" i="12"/>
  <c r="Y8" i="12"/>
  <c r="AD13" i="12" s="1"/>
  <c r="AA13" i="12" s="1"/>
  <c r="AC13" i="12" s="1"/>
  <c r="R13" i="12" s="1"/>
  <c r="X8" i="12"/>
  <c r="AY12" i="12"/>
  <c r="AX12" i="12"/>
  <c r="S9" i="12"/>
  <c r="AY4" i="12"/>
  <c r="BA8" i="12"/>
  <c r="N7" i="12"/>
  <c r="BA12" i="12"/>
  <c r="AE3" i="12"/>
  <c r="AE12" i="12"/>
  <c r="BJ12" i="12"/>
  <c r="BA10" i="12"/>
  <c r="N4" i="12"/>
  <c r="N15" i="12"/>
  <c r="AE14" i="12"/>
  <c r="BJ14" i="12"/>
  <c r="N5" i="12"/>
  <c r="BA6" i="12"/>
  <c r="AE15" i="12"/>
  <c r="BJ15" i="12"/>
  <c r="P13" i="12"/>
  <c r="AE7" i="12"/>
  <c r="BJ7" i="12"/>
  <c r="AZ13" i="12"/>
  <c r="N12" i="12"/>
  <c r="BA5" i="12"/>
  <c r="N10" i="12"/>
  <c r="AE10" i="12"/>
  <c r="BJ10" i="12"/>
  <c r="N3" i="12"/>
  <c r="AE6" i="12"/>
  <c r="BJ6" i="12"/>
  <c r="AE4" i="12"/>
  <c r="BJ4" i="12"/>
  <c r="BA14" i="12"/>
  <c r="N6" i="12"/>
  <c r="N8" i="12"/>
  <c r="BE12" i="12"/>
  <c r="V12" i="12"/>
  <c r="BG6" i="12"/>
  <c r="X6" i="12"/>
  <c r="BG4" i="12"/>
  <c r="X4" i="12"/>
  <c r="AA10" i="12"/>
  <c r="BK9" i="12"/>
  <c r="AF9" i="12"/>
  <c r="BB12" i="12"/>
  <c r="S12" i="12"/>
  <c r="BI4" i="12"/>
  <c r="Z4" i="12"/>
  <c r="Q10" i="12"/>
  <c r="BD14" i="12"/>
  <c r="U14" i="12"/>
  <c r="BJ3" i="12"/>
  <c r="AA3" i="12"/>
  <c r="BC5" i="12"/>
  <c r="T5" i="12"/>
  <c r="AY5" i="12"/>
  <c r="O5" i="12"/>
  <c r="BC4" i="12"/>
  <c r="T4" i="12"/>
  <c r="AZ10" i="12"/>
  <c r="P10" i="12"/>
  <c r="BI10" i="12"/>
  <c r="Z10" i="12"/>
  <c r="AZ12" i="12"/>
  <c r="P12" i="12"/>
  <c r="BF6" i="12"/>
  <c r="W6" i="12"/>
  <c r="AA4" i="12"/>
  <c r="AZ3" i="12"/>
  <c r="P3" i="12"/>
  <c r="BB14" i="12"/>
  <c r="S14" i="12"/>
  <c r="BB10" i="12"/>
  <c r="S10" i="12"/>
  <c r="BE14" i="12"/>
  <c r="V14" i="12"/>
  <c r="AY3" i="12"/>
  <c r="O3" i="12"/>
  <c r="AY6" i="12"/>
  <c r="O6" i="12"/>
  <c r="BE6" i="12"/>
  <c r="V6" i="12"/>
  <c r="AZ4" i="12"/>
  <c r="P4" i="12"/>
  <c r="BD7" i="12"/>
  <c r="U7" i="12"/>
  <c r="BB3" i="12"/>
  <c r="S3" i="12"/>
  <c r="AY10" i="12"/>
  <c r="O10" i="12"/>
  <c r="BC14" i="12"/>
  <c r="T14" i="12"/>
  <c r="BF4" i="12"/>
  <c r="W4" i="12"/>
  <c r="Q12" i="12"/>
  <c r="BF15" i="12"/>
  <c r="W15" i="12"/>
  <c r="BC6" i="12"/>
  <c r="T6" i="12"/>
  <c r="BF10" i="12"/>
  <c r="W10" i="12"/>
  <c r="BF5" i="12"/>
  <c r="W5" i="12"/>
  <c r="AE8" i="12"/>
  <c r="BA7" i="12"/>
  <c r="Q7" i="12"/>
  <c r="AA7" i="12"/>
  <c r="BE15" i="12"/>
  <c r="V15" i="12"/>
  <c r="BF13" i="12"/>
  <c r="W13" i="12"/>
  <c r="AA12" i="12"/>
  <c r="BH6" i="12"/>
  <c r="Y6" i="12"/>
  <c r="BG14" i="12"/>
  <c r="X14" i="12"/>
  <c r="BI14" i="12"/>
  <c r="Z14" i="12"/>
  <c r="BE10" i="12"/>
  <c r="V10" i="12"/>
  <c r="Q6" i="12"/>
  <c r="BE5" i="12"/>
  <c r="V5" i="12"/>
  <c r="BH4" i="12"/>
  <c r="Y4" i="12"/>
  <c r="BK15" i="12"/>
  <c r="AF15" i="12"/>
  <c r="BD12" i="12"/>
  <c r="U12" i="12"/>
  <c r="BK11" i="12"/>
  <c r="AF11" i="12"/>
  <c r="BD10" i="12"/>
  <c r="U10" i="12"/>
  <c r="BI5" i="12"/>
  <c r="Z5" i="12"/>
  <c r="BB6" i="12"/>
  <c r="S6" i="12"/>
  <c r="Q13" i="12"/>
  <c r="BD6" i="12"/>
  <c r="U6" i="12"/>
  <c r="BC7" i="12"/>
  <c r="T7" i="12"/>
  <c r="BH14" i="12"/>
  <c r="Y14" i="12"/>
  <c r="BE7" i="12"/>
  <c r="V7" i="12"/>
  <c r="BF7" i="12"/>
  <c r="W7" i="12"/>
  <c r="AZ6" i="12"/>
  <c r="P6" i="12"/>
  <c r="BD5" i="12"/>
  <c r="U5" i="12"/>
  <c r="BA3" i="12"/>
  <c r="Q3" i="12"/>
  <c r="BB7" i="12"/>
  <c r="S7" i="12"/>
  <c r="BH3" i="12"/>
  <c r="Y3" i="12"/>
  <c r="BE3" i="12"/>
  <c r="V3" i="12"/>
  <c r="BG5" i="12"/>
  <c r="X5" i="12"/>
  <c r="BG7" i="12"/>
  <c r="X7" i="12"/>
  <c r="BC3" i="12"/>
  <c r="T3" i="12"/>
  <c r="BH12" i="12"/>
  <c r="Y12" i="12"/>
  <c r="BA15" i="12"/>
  <c r="Q15" i="12"/>
  <c r="BF14" i="12"/>
  <c r="W14" i="12"/>
  <c r="BI7" i="12"/>
  <c r="Z7" i="12"/>
  <c r="BD3" i="12"/>
  <c r="U3" i="12"/>
  <c r="AZ7" i="12"/>
  <c r="P7" i="12"/>
  <c r="BD4" i="12"/>
  <c r="U4" i="12"/>
  <c r="BH10" i="12"/>
  <c r="Y10" i="12"/>
  <c r="BG3" i="12"/>
  <c r="X3" i="12"/>
  <c r="BE8" i="12"/>
  <c r="V8" i="12"/>
  <c r="BJ5" i="12"/>
  <c r="AA5" i="12"/>
  <c r="BG12" i="12"/>
  <c r="X12" i="12"/>
  <c r="AA14" i="12"/>
  <c r="AZ5" i="12"/>
  <c r="P5" i="12"/>
  <c r="BF3" i="12"/>
  <c r="W3" i="12"/>
  <c r="Q8" i="12"/>
  <c r="BH5" i="12"/>
  <c r="Y5" i="12"/>
  <c r="AY14" i="12"/>
  <c r="O14" i="12"/>
  <c r="BA4" i="12"/>
  <c r="Q4" i="12"/>
  <c r="BC10" i="12"/>
  <c r="T10" i="12"/>
  <c r="AA6" i="12"/>
  <c r="BG10" i="12"/>
  <c r="X10" i="12"/>
  <c r="BH7" i="12"/>
  <c r="Y7" i="12"/>
  <c r="AZ14" i="12"/>
  <c r="P14" i="12"/>
  <c r="Q14" i="12"/>
  <c r="BI3" i="12"/>
  <c r="Z3" i="12"/>
  <c r="AZ8" i="12"/>
  <c r="P8" i="12"/>
  <c r="BI12" i="12"/>
  <c r="Z12" i="12"/>
  <c r="Q5" i="12"/>
  <c r="BB5" i="12"/>
  <c r="S5" i="12"/>
  <c r="BC8" i="12"/>
  <c r="T8" i="12"/>
  <c r="AX4" i="12"/>
  <c r="AX3" i="12"/>
  <c r="AX14" i="12"/>
  <c r="AX10" i="12"/>
  <c r="AX7" i="12"/>
  <c r="N13" i="12" l="1"/>
  <c r="BC13" i="12"/>
  <c r="T13" i="12"/>
  <c r="AY13" i="12"/>
  <c r="O13" i="12"/>
  <c r="BH13" i="12"/>
  <c r="Y13" i="12"/>
  <c r="M13" i="12"/>
  <c r="AX13" i="12"/>
  <c r="BI13" i="12"/>
  <c r="Z13" i="12"/>
  <c r="BG13" i="12"/>
  <c r="X13" i="12"/>
  <c r="BD13" i="12"/>
  <c r="U13" i="12"/>
  <c r="BA13" i="12"/>
  <c r="BK10" i="12"/>
  <c r="AF10" i="12"/>
  <c r="BK14" i="12"/>
  <c r="AF14" i="12"/>
  <c r="BK4" i="12"/>
  <c r="AF4" i="12"/>
  <c r="BK5" i="12"/>
  <c r="AF5" i="12"/>
  <c r="BK8" i="12"/>
  <c r="AF8" i="12"/>
  <c r="BK12" i="12"/>
  <c r="AF12" i="12"/>
  <c r="BK7" i="12"/>
  <c r="AF7" i="12"/>
  <c r="BK3" i="12"/>
  <c r="AF3" i="12"/>
  <c r="BK6" i="12"/>
  <c r="AF6" i="12"/>
  <c r="BK13" i="12" l="1"/>
  <c r="AF13" i="12"/>
  <c r="AH2" i="12" s="1"/>
  <c r="I5" i="9"/>
  <c r="I6" i="9"/>
  <c r="I7" i="9"/>
  <c r="I8" i="9"/>
  <c r="I9" i="9"/>
  <c r="I10" i="9"/>
  <c r="I11" i="9"/>
  <c r="I12" i="9"/>
  <c r="I13" i="9"/>
  <c r="I14" i="9"/>
  <c r="I15" i="9"/>
  <c r="I16" i="9"/>
  <c r="I17" i="9"/>
  <c r="I18" i="9"/>
  <c r="I19" i="9"/>
  <c r="I20" i="9"/>
  <c r="I21" i="9"/>
  <c r="I22" i="9"/>
  <c r="I4" i="9"/>
  <c r="K4" i="9"/>
  <c r="G5" i="9"/>
  <c r="G6" i="9"/>
  <c r="G7" i="9"/>
  <c r="G8" i="9"/>
  <c r="G9" i="9"/>
  <c r="G10" i="9"/>
  <c r="G11" i="9"/>
  <c r="G12" i="9"/>
  <c r="G13" i="9"/>
  <c r="G14" i="9"/>
  <c r="G15" i="9"/>
  <c r="G16" i="9"/>
  <c r="G17" i="9"/>
  <c r="G18" i="9"/>
  <c r="G19" i="9"/>
  <c r="G20" i="9"/>
  <c r="G21" i="9"/>
  <c r="G22" i="9"/>
  <c r="G4" i="9"/>
  <c r="K5" i="9"/>
  <c r="K6" i="9"/>
  <c r="K7" i="9"/>
  <c r="K8" i="9"/>
  <c r="K9" i="9"/>
  <c r="K10" i="9"/>
  <c r="K11" i="9"/>
  <c r="K12" i="9"/>
  <c r="K13" i="9"/>
  <c r="K14" i="9"/>
  <c r="K15" i="9"/>
  <c r="K16" i="9"/>
  <c r="K17" i="9"/>
  <c r="K18" i="9"/>
  <c r="K19" i="9"/>
  <c r="K20" i="9"/>
  <c r="K21" i="9"/>
  <c r="K22" i="9"/>
  <c r="C5" i="9"/>
  <c r="C6" i="9"/>
  <c r="C7" i="9"/>
  <c r="C8" i="9"/>
  <c r="C9" i="9"/>
  <c r="C10" i="9"/>
  <c r="C11" i="9"/>
  <c r="C12" i="9"/>
  <c r="C13" i="9"/>
  <c r="C14" i="9"/>
  <c r="C15" i="9"/>
  <c r="C16" i="9"/>
  <c r="C17" i="9"/>
  <c r="C18" i="9"/>
  <c r="C19" i="9"/>
  <c r="C20" i="9"/>
  <c r="C21" i="9"/>
  <c r="C22" i="9"/>
  <c r="C4" i="9"/>
  <c r="AD2" i="12" l="1"/>
  <c r="U2" i="12"/>
  <c r="Y2" i="12" s="1"/>
  <c r="V2" i="12" s="1"/>
  <c r="AB2" i="12" s="1"/>
  <c r="Q2" i="12" s="1"/>
  <c r="O2" i="12" s="1"/>
  <c r="W2" i="12" s="1"/>
  <c r="AC2" i="12" s="1"/>
  <c r="X2" i="12" s="1"/>
  <c r="R2" i="12" s="1"/>
  <c r="P2" i="12" s="1"/>
  <c r="Z2" i="12" s="1"/>
  <c r="AV2" i="12" s="1"/>
  <c r="AO2" i="12" s="1"/>
  <c r="AN2" i="12" s="1"/>
  <c r="AM2" i="12" s="1"/>
  <c r="AQ2" i="12" s="1"/>
  <c r="AU2" i="12" s="1"/>
  <c r="BE2" i="12" l="1"/>
  <c r="BH2" i="12"/>
  <c r="AE2" i="12"/>
  <c r="BJ2" i="12"/>
  <c r="BB2" i="12"/>
  <c r="S2" i="12"/>
  <c r="AI2" i="12" s="1"/>
  <c r="N2" i="12"/>
  <c r="AA2" i="12"/>
  <c r="BC2" i="12"/>
  <c r="T2" i="12"/>
  <c r="BF2" i="12"/>
  <c r="AX2" i="12"/>
  <c r="M2" i="12"/>
  <c r="AP2" i="12" s="1"/>
  <c r="AS2" i="12" s="1"/>
  <c r="BD2" i="12"/>
  <c r="AR2" i="12" s="1"/>
  <c r="BG2" i="12"/>
  <c r="AT2" i="12" s="1"/>
  <c r="BI2" i="12"/>
  <c r="AL2" i="12" s="1"/>
  <c r="BA2" i="12"/>
  <c r="AJ2" i="12" s="1"/>
  <c r="AY2" i="12"/>
  <c r="AK2" i="12" s="1"/>
  <c r="AZ2" i="12"/>
  <c r="BK2" i="12"/>
  <c r="AF2" i="12"/>
  <c r="D5" i="3" l="1"/>
  <c r="B8" i="3" s="1"/>
  <c r="G2" i="9"/>
  <c r="C2" i="9"/>
  <c r="D2" i="10"/>
  <c r="E2" i="10" s="1"/>
  <c r="F2" i="10" s="1"/>
  <c r="I2" i="9"/>
  <c r="K2" i="9"/>
  <c r="X6" i="6"/>
  <c r="W6" i="6"/>
  <c r="Z6" i="6"/>
  <c r="Y5" i="6"/>
  <c r="AK5" i="6"/>
  <c r="AL5" i="6"/>
  <c r="G24" i="2"/>
  <c r="CO5" i="6" l="1"/>
  <c r="DB5" i="6"/>
  <c r="DO5" i="6"/>
  <c r="CP5" i="6"/>
  <c r="DC5" i="6"/>
  <c r="CQ5" i="6"/>
  <c r="DD5" i="6"/>
  <c r="DQ5" i="6"/>
  <c r="CS5" i="6"/>
  <c r="DE5" i="6"/>
  <c r="DR5" i="6"/>
  <c r="CT5" i="6"/>
  <c r="DG5" i="6"/>
  <c r="DS5" i="6"/>
  <c r="CU5" i="6"/>
  <c r="DH5" i="6"/>
  <c r="DT5" i="6"/>
  <c r="CV5" i="6"/>
  <c r="DI5" i="6"/>
  <c r="DU5" i="6"/>
  <c r="CW5" i="6"/>
  <c r="DJ5" i="6"/>
  <c r="DV5" i="6"/>
  <c r="CX5" i="6"/>
  <c r="DK5" i="6"/>
  <c r="CL5" i="6"/>
  <c r="CY5" i="6"/>
  <c r="DL5" i="6"/>
  <c r="CM5" i="6"/>
  <c r="CZ5" i="6"/>
  <c r="DM5" i="6"/>
  <c r="CN5" i="6"/>
  <c r="DA5" i="6"/>
  <c r="DN5" i="6"/>
  <c r="BE5" i="6"/>
  <c r="BR5" i="6"/>
  <c r="CE5" i="6"/>
  <c r="BF5" i="6"/>
  <c r="BS5" i="6"/>
  <c r="CF5" i="6"/>
  <c r="BG5" i="6"/>
  <c r="BT5" i="6"/>
  <c r="CG5" i="6"/>
  <c r="BH5" i="6"/>
  <c r="BU5" i="6"/>
  <c r="BY5" i="6"/>
  <c r="AW5" i="6"/>
  <c r="BI5" i="6"/>
  <c r="BV5" i="6"/>
  <c r="AX5" i="6"/>
  <c r="BJ5" i="6"/>
  <c r="BW5" i="6"/>
  <c r="AY5" i="6"/>
  <c r="BK5" i="6"/>
  <c r="BX5" i="6"/>
  <c r="AZ5" i="6"/>
  <c r="BL5" i="6"/>
  <c r="BZ5" i="6"/>
  <c r="BA5" i="6"/>
  <c r="BM5" i="6"/>
  <c r="BB5" i="6"/>
  <c r="BN5" i="6"/>
  <c r="CB5" i="6"/>
  <c r="BC5" i="6"/>
  <c r="CC5" i="6"/>
  <c r="BD5" i="6"/>
  <c r="BP5" i="6"/>
  <c r="CD5" i="6"/>
  <c r="BO5" i="6"/>
  <c r="DD6" i="6"/>
  <c r="BP6" i="6"/>
  <c r="CP6" i="6"/>
  <c r="CR6" i="6" s="1"/>
  <c r="DP6" i="6"/>
  <c r="CQ6" i="6"/>
  <c r="DQ6" i="6"/>
  <c r="CS6" i="6"/>
  <c r="DE6" i="6"/>
  <c r="DR6" i="6"/>
  <c r="CT6" i="6"/>
  <c r="DG6" i="6"/>
  <c r="DS6" i="6"/>
  <c r="CU6" i="6"/>
  <c r="DH6" i="6"/>
  <c r="DT6" i="6"/>
  <c r="CV6" i="6"/>
  <c r="DI6" i="6"/>
  <c r="DU6" i="6"/>
  <c r="CW6" i="6"/>
  <c r="DJ6" i="6"/>
  <c r="DV6" i="6"/>
  <c r="CX6" i="6"/>
  <c r="DK6" i="6"/>
  <c r="CL6" i="6"/>
  <c r="CY6" i="6"/>
  <c r="DL6" i="6"/>
  <c r="CM6" i="6"/>
  <c r="CZ6" i="6"/>
  <c r="DM6" i="6"/>
  <c r="CN6" i="6"/>
  <c r="DA6" i="6"/>
  <c r="DN6" i="6"/>
  <c r="CO6" i="6"/>
  <c r="DB6" i="6"/>
  <c r="DO6" i="6"/>
  <c r="BF6" i="6"/>
  <c r="BS6" i="6"/>
  <c r="CF6" i="6"/>
  <c r="BG6" i="6"/>
  <c r="BT6" i="6"/>
  <c r="CG6" i="6"/>
  <c r="BH6" i="6"/>
  <c r="BU6" i="6"/>
  <c r="AW6" i="6"/>
  <c r="BI6" i="6"/>
  <c r="BV6" i="6"/>
  <c r="AX6" i="6"/>
  <c r="BJ6" i="6"/>
  <c r="BW6" i="6"/>
  <c r="BY6" i="6"/>
  <c r="AY6" i="6"/>
  <c r="BK6" i="6"/>
  <c r="BX6" i="6"/>
  <c r="AZ6" i="6"/>
  <c r="BL6" i="6"/>
  <c r="BZ6" i="6"/>
  <c r="BA6" i="6"/>
  <c r="CA6" i="6"/>
  <c r="BB6" i="6"/>
  <c r="BN6" i="6"/>
  <c r="CB6" i="6"/>
  <c r="BC6" i="6"/>
  <c r="CC6" i="6"/>
  <c r="BD6" i="6"/>
  <c r="CD6" i="6"/>
  <c r="BE6" i="6"/>
  <c r="BR6" i="6"/>
  <c r="CE6" i="6"/>
  <c r="BO6" i="6"/>
  <c r="DC6" i="6"/>
  <c r="BM6" i="6"/>
  <c r="DP5" i="6"/>
  <c r="CA5" i="6"/>
  <c r="DX6" i="6" l="1"/>
  <c r="CR5" i="6"/>
  <c r="DX5" i="6" s="1"/>
  <c r="AR4" i="1"/>
  <c r="AW4" i="1"/>
  <c r="AX4" i="1"/>
  <c r="AY4" i="1"/>
  <c r="AZ4" i="1"/>
  <c r="BC4" i="1"/>
  <c r="BD4" i="1"/>
  <c r="BE4" i="1"/>
  <c r="BF4" i="1"/>
  <c r="BG4" i="1"/>
  <c r="BH4" i="1"/>
  <c r="BI4" i="1"/>
  <c r="BJ4" i="1"/>
  <c r="BK4" i="1"/>
  <c r="BL4" i="1"/>
  <c r="BM4" i="1"/>
  <c r="BN4" i="1"/>
  <c r="BB4" i="1"/>
  <c r="BA4" i="1"/>
  <c r="AF4" i="1"/>
  <c r="AH4" i="1"/>
  <c r="AG4" i="1"/>
  <c r="AI4" i="1"/>
  <c r="AK4" i="1"/>
  <c r="BP4" i="1"/>
  <c r="BQ4" i="1"/>
</calcChain>
</file>

<file path=xl/sharedStrings.xml><?xml version="1.0" encoding="utf-8"?>
<sst xmlns="http://schemas.openxmlformats.org/spreadsheetml/2006/main" count="1376" uniqueCount="508">
  <si>
    <t>Point#</t>
  </si>
  <si>
    <t>Sample</t>
  </si>
  <si>
    <t>MgO</t>
  </si>
  <si>
    <t>MnO</t>
  </si>
  <si>
    <t>FeO</t>
  </si>
  <si>
    <t>NiO</t>
  </si>
  <si>
    <t>CaO</t>
  </si>
  <si>
    <t>Total</t>
  </si>
  <si>
    <t>X</t>
  </si>
  <si>
    <t>Y</t>
  </si>
  <si>
    <t>Z</t>
  </si>
  <si>
    <t>Comment</t>
  </si>
  <si>
    <t>Class</t>
  </si>
  <si>
    <t>Phase</t>
  </si>
  <si>
    <t>O</t>
  </si>
  <si>
    <t>OH</t>
  </si>
  <si>
    <t>Na</t>
  </si>
  <si>
    <t>Mg</t>
  </si>
  <si>
    <t>Si</t>
  </si>
  <si>
    <t>Al</t>
  </si>
  <si>
    <t>Mn</t>
  </si>
  <si>
    <t>Ca</t>
  </si>
  <si>
    <t>Ti</t>
  </si>
  <si>
    <t>Cr</t>
  </si>
  <si>
    <t>Ni</t>
  </si>
  <si>
    <t>Atg</t>
  </si>
  <si>
    <t>Ol</t>
  </si>
  <si>
    <t>Tlc</t>
  </si>
  <si>
    <t>Opx</t>
  </si>
  <si>
    <t>C</t>
  </si>
  <si>
    <t>chlorite</t>
  </si>
  <si>
    <t>Chl</t>
  </si>
  <si>
    <t>O, OH and C per formula unit can be entered manually or using any of the following abbreviations</t>
  </si>
  <si>
    <t>Br</t>
  </si>
  <si>
    <t>Chum</t>
  </si>
  <si>
    <t>Cpx</t>
  </si>
  <si>
    <t>Tr</t>
  </si>
  <si>
    <t>Grt</t>
  </si>
  <si>
    <t>Mag</t>
  </si>
  <si>
    <t>Cb</t>
  </si>
  <si>
    <t>Dol</t>
  </si>
  <si>
    <t>Webmineral</t>
  </si>
  <si>
    <t>dolomite</t>
  </si>
  <si>
    <r>
      <t>Na</t>
    </r>
    <r>
      <rPr>
        <vertAlign val="subscript"/>
        <sz val="10"/>
        <rFont val="Arial Narrow"/>
        <family val="2"/>
      </rPr>
      <t>2</t>
    </r>
    <r>
      <rPr>
        <sz val="10"/>
        <rFont val="Arial Narrow"/>
        <family val="2"/>
      </rPr>
      <t>O</t>
    </r>
  </si>
  <si>
    <r>
      <t>SiO</t>
    </r>
    <r>
      <rPr>
        <vertAlign val="subscript"/>
        <sz val="10"/>
        <rFont val="Arial Narrow"/>
        <family val="2"/>
      </rPr>
      <t>2</t>
    </r>
  </si>
  <si>
    <r>
      <t>Al</t>
    </r>
    <r>
      <rPr>
        <vertAlign val="subscript"/>
        <sz val="10"/>
        <rFont val="Arial Narrow"/>
        <family val="2"/>
      </rPr>
      <t>2</t>
    </r>
    <r>
      <rPr>
        <sz val="10"/>
        <rFont val="Arial Narrow"/>
        <family val="2"/>
      </rPr>
      <t>O</t>
    </r>
    <r>
      <rPr>
        <vertAlign val="subscript"/>
        <sz val="10"/>
        <rFont val="Arial Narrow"/>
        <family val="2"/>
      </rPr>
      <t>3</t>
    </r>
  </si>
  <si>
    <r>
      <t>FeO</t>
    </r>
    <r>
      <rPr>
        <vertAlign val="subscript"/>
        <sz val="10"/>
        <rFont val="Arial Narrow"/>
        <family val="2"/>
      </rPr>
      <t>Total</t>
    </r>
  </si>
  <si>
    <r>
      <t>TiO</t>
    </r>
    <r>
      <rPr>
        <vertAlign val="subscript"/>
        <sz val="10"/>
        <rFont val="Arial Narrow"/>
        <family val="2"/>
      </rPr>
      <t>2</t>
    </r>
  </si>
  <si>
    <r>
      <t>Cr</t>
    </r>
    <r>
      <rPr>
        <vertAlign val="subscript"/>
        <sz val="10"/>
        <rFont val="Arial Narrow"/>
        <family val="2"/>
      </rPr>
      <t>2</t>
    </r>
    <r>
      <rPr>
        <sz val="10"/>
        <rFont val="Arial Narrow"/>
        <family val="2"/>
      </rPr>
      <t>O</t>
    </r>
    <r>
      <rPr>
        <vertAlign val="subscript"/>
        <sz val="10"/>
        <rFont val="Arial Narrow"/>
        <family val="2"/>
      </rPr>
      <t>3</t>
    </r>
  </si>
  <si>
    <r>
      <t>Fe</t>
    </r>
    <r>
      <rPr>
        <vertAlign val="superscript"/>
        <sz val="10"/>
        <rFont val="Arial Narrow"/>
        <family val="2"/>
      </rPr>
      <t>2+</t>
    </r>
  </si>
  <si>
    <r>
      <t>Fe</t>
    </r>
    <r>
      <rPr>
        <vertAlign val="superscript"/>
        <sz val="10"/>
        <rFont val="Arial Narrow"/>
        <family val="2"/>
      </rPr>
      <t>3+</t>
    </r>
  </si>
  <si>
    <t>magnetite</t>
  </si>
  <si>
    <r>
      <t xml:space="preserve">This simple spreadsheet allows computing the mineral structural formulae based on a fixed number of equivalent negative charges O per formula unit [i.e. O + 1/2 (OH)]. It also allows to estimate the H2O and CO2 content in wt.% for hydrous and carbonates based on stoichiometry and to compute the Fe2O3 wt.% content given a ferric over total iron atomic ratio. </t>
    </r>
    <r>
      <rPr>
        <b/>
        <sz val="12"/>
        <rFont val="Arial Narrow"/>
        <family val="2"/>
      </rPr>
      <t xml:space="preserve">Note that for certain phases (hydrous phases and carbonates) the column O is not the number of O p.f.u. but the equivalent negative charges expressed as O. </t>
    </r>
  </si>
  <si>
    <t>brucite</t>
  </si>
  <si>
    <t>clinohumite</t>
  </si>
  <si>
    <t>olivine</t>
  </si>
  <si>
    <t>orthopyroxene</t>
  </si>
  <si>
    <t>clinopyroxene</t>
  </si>
  <si>
    <t>talc</t>
  </si>
  <si>
    <t>tremolite</t>
  </si>
  <si>
    <t>antigorite (m=17)</t>
  </si>
  <si>
    <t>garnet</t>
  </si>
  <si>
    <t>carbonate</t>
  </si>
  <si>
    <t xml:space="preserve">log </t>
  </si>
  <si>
    <r>
      <t>K</t>
    </r>
    <r>
      <rPr>
        <vertAlign val="subscript"/>
        <sz val="10"/>
        <rFont val="Arial Narrow"/>
        <family val="2"/>
      </rPr>
      <t>2</t>
    </r>
    <r>
      <rPr>
        <sz val="10"/>
        <rFont val="Arial Narrow"/>
        <family val="2"/>
      </rPr>
      <t>O</t>
    </r>
  </si>
  <si>
    <t>F</t>
  </si>
  <si>
    <t>Cl</t>
  </si>
  <si>
    <t>K</t>
  </si>
  <si>
    <t>F=O</t>
  </si>
  <si>
    <t>Cl=O</t>
  </si>
  <si>
    <r>
      <t>Fe</t>
    </r>
    <r>
      <rPr>
        <vertAlign val="subscript"/>
        <sz val="10"/>
        <color indexed="55"/>
        <rFont val="Arial Narrow"/>
        <family val="2"/>
      </rPr>
      <t>2</t>
    </r>
    <r>
      <rPr>
        <sz val="10"/>
        <color indexed="55"/>
        <rFont val="Arial Narrow"/>
        <family val="2"/>
      </rPr>
      <t>O</t>
    </r>
    <r>
      <rPr>
        <vertAlign val="subscript"/>
        <sz val="10"/>
        <color indexed="55"/>
        <rFont val="Arial Narrow"/>
        <family val="2"/>
      </rPr>
      <t>3</t>
    </r>
  </si>
  <si>
    <t>Convertion of FeO to Fe2O3 and viceversa (wt.%)</t>
  </si>
  <si>
    <t>FeO + Fe2O3</t>
  </si>
  <si>
    <t>input</t>
  </si>
  <si>
    <t>26.04.22 Columns more logically sorted. K2O added and checked with orthoclase.</t>
  </si>
  <si>
    <t>F-phlogopite</t>
  </si>
  <si>
    <t>F-Ph</t>
  </si>
  <si>
    <t>2-F</t>
  </si>
  <si>
    <t>Pl</t>
  </si>
  <si>
    <t>Plagioclase</t>
  </si>
  <si>
    <t>27.04.22 F added and checked against F-phlogopite (11.5 O) and clinohumite (18 O). Note that in F-Ph and F-Chum, F is assumed to replace Mg.</t>
  </si>
  <si>
    <t>Mica</t>
  </si>
  <si>
    <t>Amph</t>
  </si>
  <si>
    <t>general mica</t>
  </si>
  <si>
    <t>general amphibole</t>
  </si>
  <si>
    <t>lizardite</t>
  </si>
  <si>
    <t>Liz</t>
  </si>
  <si>
    <t>28.04.22 Muscovite (mica) and amphibole, here F is considered to exhange with OH so O is 11 or 23 O respectively. Added lizardite and epidote.</t>
  </si>
  <si>
    <t>Ep</t>
  </si>
  <si>
    <t>epidote</t>
  </si>
  <si>
    <r>
      <t>Fe</t>
    </r>
    <r>
      <rPr>
        <vertAlign val="superscript"/>
        <sz val="12"/>
        <rFont val="Arial Narrow"/>
        <family val="2"/>
      </rPr>
      <t>3+</t>
    </r>
    <r>
      <rPr>
        <sz val="12"/>
        <rFont val="Arial Narrow"/>
        <family val="2"/>
        <charset val="238"/>
      </rPr>
      <t>/Fe</t>
    </r>
    <r>
      <rPr>
        <vertAlign val="superscript"/>
        <sz val="12"/>
        <rFont val="Arial Narrow"/>
        <family val="2"/>
      </rPr>
      <t>Total</t>
    </r>
  </si>
  <si>
    <t>Ti-clinohumite</t>
  </si>
  <si>
    <t>2-F-2*Ti</t>
  </si>
  <si>
    <t>Ti-Chu</t>
  </si>
  <si>
    <t xml:space="preserve">28.04.22 Not sure if the DHZ assumption that F is asociated to Mg and therefore it needs to be substracted is fully correct. </t>
  </si>
  <si>
    <t>Norm</t>
  </si>
  <si>
    <t>Anions</t>
  </si>
  <si>
    <t>Cations</t>
  </si>
  <si>
    <t>Uncorr. Total</t>
  </si>
  <si>
    <r>
      <t>Fe</t>
    </r>
    <r>
      <rPr>
        <vertAlign val="subscript"/>
        <sz val="10"/>
        <color indexed="8"/>
        <rFont val="Arial Narrow"/>
        <family val="2"/>
      </rPr>
      <t>2</t>
    </r>
    <r>
      <rPr>
        <sz val="10"/>
        <color indexed="8"/>
        <rFont val="Arial Narrow"/>
        <family val="2"/>
      </rPr>
      <t>O</t>
    </r>
    <r>
      <rPr>
        <vertAlign val="subscript"/>
        <sz val="10"/>
        <color indexed="8"/>
        <rFont val="Arial Narrow"/>
        <family val="2"/>
      </rPr>
      <t>3</t>
    </r>
  </si>
  <si>
    <r>
      <t>H</t>
    </r>
    <r>
      <rPr>
        <vertAlign val="subscript"/>
        <sz val="10"/>
        <color indexed="8"/>
        <rFont val="Arial Narrow"/>
        <family val="2"/>
      </rPr>
      <t>2</t>
    </r>
    <r>
      <rPr>
        <sz val="10"/>
        <color indexed="8"/>
        <rFont val="Arial Narrow"/>
        <family val="2"/>
      </rPr>
      <t>O calc</t>
    </r>
  </si>
  <si>
    <r>
      <t>CO</t>
    </r>
    <r>
      <rPr>
        <vertAlign val="subscript"/>
        <sz val="10"/>
        <color indexed="8"/>
        <rFont val="Arial Narrow"/>
        <family val="2"/>
      </rPr>
      <t>2</t>
    </r>
    <r>
      <rPr>
        <sz val="10"/>
        <color indexed="8"/>
        <rFont val="Arial Narrow"/>
        <family val="2"/>
      </rPr>
      <t xml:space="preserve"> calc</t>
    </r>
  </si>
  <si>
    <t>Ti-chondrodite</t>
  </si>
  <si>
    <t>Ti-Cho</t>
  </si>
  <si>
    <t xml:space="preserve">30.04.22 Substantial changes, allows either total anions or cations as nomalization factors. DHZ assumption no longer adopted. </t>
  </si>
  <si>
    <t>S</t>
  </si>
  <si>
    <t>H</t>
  </si>
  <si>
    <t>Fluorite</t>
  </si>
  <si>
    <t>Standards</t>
  </si>
  <si>
    <t>Zn</t>
  </si>
  <si>
    <t>Co</t>
  </si>
  <si>
    <t>Cu</t>
  </si>
  <si>
    <t>ZnO</t>
  </si>
  <si>
    <t>Stoichiometry</t>
  </si>
  <si>
    <t>○</t>
  </si>
  <si>
    <t>Elements</t>
  </si>
  <si>
    <t>3F</t>
  </si>
  <si>
    <t>1.04.22 Stoichiometric constrain on ferric iron contain is now allowed in the oxide inputs (Norm = "both"). Automatic for Cpx and magnetite</t>
  </si>
  <si>
    <t>2.04.22 ZnO added and tested against zincite.</t>
  </si>
  <si>
    <t>P</t>
  </si>
  <si>
    <t>Sn</t>
  </si>
  <si>
    <t>Be</t>
  </si>
  <si>
    <t>Ba</t>
  </si>
  <si>
    <t>Sr</t>
  </si>
  <si>
    <t>Pb</t>
  </si>
  <si>
    <t>Mo</t>
  </si>
  <si>
    <t>V</t>
  </si>
  <si>
    <t>Zr</t>
  </si>
  <si>
    <t>W</t>
  </si>
  <si>
    <t>As</t>
  </si>
  <si>
    <t>YAG (synthetic)</t>
  </si>
  <si>
    <t>Apatite</t>
  </si>
  <si>
    <t>Zirconia</t>
  </si>
  <si>
    <t>Titanite</t>
  </si>
  <si>
    <r>
      <t>P</t>
    </r>
    <r>
      <rPr>
        <vertAlign val="subscript"/>
        <sz val="10"/>
        <color indexed="8"/>
        <rFont val="Arial Narrow"/>
        <family val="2"/>
      </rPr>
      <t>2</t>
    </r>
    <r>
      <rPr>
        <sz val="10"/>
        <color indexed="8"/>
        <rFont val="Arial Narrow"/>
        <family val="2"/>
      </rPr>
      <t>O</t>
    </r>
    <r>
      <rPr>
        <vertAlign val="subscript"/>
        <sz val="10"/>
        <color indexed="8"/>
        <rFont val="Arial Narrow"/>
        <family val="2"/>
      </rPr>
      <t>5</t>
    </r>
  </si>
  <si>
    <r>
      <t>SO</t>
    </r>
    <r>
      <rPr>
        <vertAlign val="subscript"/>
        <sz val="10"/>
        <color indexed="8"/>
        <rFont val="Arial Narrow"/>
        <family val="2"/>
      </rPr>
      <t>3</t>
    </r>
  </si>
  <si>
    <t>L.O.I.</t>
  </si>
  <si>
    <r>
      <t>Fe</t>
    </r>
    <r>
      <rPr>
        <vertAlign val="subscript"/>
        <sz val="10"/>
        <color indexed="31"/>
        <rFont val="Arial Narrow"/>
        <family val="2"/>
      </rPr>
      <t>2</t>
    </r>
    <r>
      <rPr>
        <sz val="10"/>
        <color indexed="31"/>
        <rFont val="Arial Narrow"/>
        <family val="2"/>
      </rPr>
      <t>O</t>
    </r>
    <r>
      <rPr>
        <vertAlign val="subscript"/>
        <sz val="10"/>
        <color indexed="31"/>
        <rFont val="Arial Narrow"/>
        <family val="2"/>
      </rPr>
      <t>3</t>
    </r>
  </si>
  <si>
    <r>
      <t>H</t>
    </r>
    <r>
      <rPr>
        <vertAlign val="subscript"/>
        <sz val="10"/>
        <color indexed="8"/>
        <rFont val="Arial Narrow"/>
        <family val="2"/>
      </rPr>
      <t>2</t>
    </r>
    <r>
      <rPr>
        <sz val="10"/>
        <color indexed="8"/>
        <rFont val="Arial Narrow"/>
        <family val="2"/>
      </rPr>
      <t>O</t>
    </r>
    <r>
      <rPr>
        <vertAlign val="superscript"/>
        <sz val="10"/>
        <color indexed="8"/>
        <rFont val="Arial Narrow"/>
        <family val="2"/>
      </rPr>
      <t>meas.</t>
    </r>
  </si>
  <si>
    <t>S (AVS, ppm)</t>
  </si>
  <si>
    <r>
      <t>S (SO</t>
    </r>
    <r>
      <rPr>
        <vertAlign val="subscript"/>
        <sz val="10"/>
        <color indexed="8"/>
        <rFont val="Arial Narrow"/>
        <family val="2"/>
      </rPr>
      <t>4</t>
    </r>
    <r>
      <rPr>
        <vertAlign val="superscript"/>
        <sz val="10"/>
        <color indexed="8"/>
        <rFont val="Arial Narrow"/>
        <family val="2"/>
      </rPr>
      <t>2-</t>
    </r>
    <r>
      <rPr>
        <sz val="10"/>
        <color indexed="8"/>
        <rFont val="Arial Narrow"/>
        <family val="2"/>
      </rPr>
      <t>, ppm)</t>
    </r>
  </si>
  <si>
    <r>
      <t>L.O.I.</t>
    </r>
    <r>
      <rPr>
        <vertAlign val="superscript"/>
        <sz val="10"/>
        <color indexed="8"/>
        <rFont val="Arial Narrow"/>
        <family val="2"/>
      </rPr>
      <t>corr</t>
    </r>
  </si>
  <si>
    <t>S oxid</t>
  </si>
  <si>
    <t>S (CRS, ppm)</t>
  </si>
  <si>
    <r>
      <t>CO</t>
    </r>
    <r>
      <rPr>
        <vertAlign val="subscript"/>
        <sz val="10"/>
        <color indexed="8"/>
        <rFont val="Arial Narrow"/>
        <family val="2"/>
      </rPr>
      <t>2</t>
    </r>
    <r>
      <rPr>
        <vertAlign val="superscript"/>
        <sz val="10"/>
        <color indexed="8"/>
        <rFont val="Arial Narrow"/>
        <family val="2"/>
      </rPr>
      <t>meas.</t>
    </r>
  </si>
  <si>
    <r>
      <t>H</t>
    </r>
    <r>
      <rPr>
        <vertAlign val="subscript"/>
        <sz val="10"/>
        <color indexed="8"/>
        <rFont val="Arial Narrow"/>
        <family val="2"/>
      </rPr>
      <t>2</t>
    </r>
    <r>
      <rPr>
        <sz val="10"/>
        <color indexed="8"/>
        <rFont val="Arial Narrow"/>
        <family val="2"/>
      </rPr>
      <t>O</t>
    </r>
    <r>
      <rPr>
        <vertAlign val="superscript"/>
        <sz val="10"/>
        <color indexed="8"/>
        <rFont val="Arial Narrow"/>
        <family val="2"/>
      </rPr>
      <t>estim.</t>
    </r>
  </si>
  <si>
    <t>WR</t>
  </si>
  <si>
    <t>wt.%</t>
  </si>
  <si>
    <r>
      <t>C</t>
    </r>
    <r>
      <rPr>
        <vertAlign val="superscript"/>
        <sz val="10"/>
        <rFont val="Arial Narrow"/>
        <family val="2"/>
      </rPr>
      <t>0</t>
    </r>
  </si>
  <si>
    <r>
      <t>C</t>
    </r>
    <r>
      <rPr>
        <vertAlign val="superscript"/>
        <sz val="10"/>
        <rFont val="Arial Narrow"/>
        <family val="2"/>
      </rPr>
      <t>4+</t>
    </r>
  </si>
  <si>
    <r>
      <t>S</t>
    </r>
    <r>
      <rPr>
        <vertAlign val="superscript"/>
        <sz val="10"/>
        <rFont val="Arial Narrow"/>
        <family val="2"/>
      </rPr>
      <t>2-</t>
    </r>
  </si>
  <si>
    <r>
      <t>S</t>
    </r>
    <r>
      <rPr>
        <vertAlign val="superscript"/>
        <sz val="10"/>
        <rFont val="Arial Narrow"/>
        <family val="2"/>
      </rPr>
      <t>-</t>
    </r>
  </si>
  <si>
    <r>
      <t>S</t>
    </r>
    <r>
      <rPr>
        <vertAlign val="superscript"/>
        <sz val="10"/>
        <rFont val="Arial Narrow"/>
        <family val="2"/>
      </rPr>
      <t>6+</t>
    </r>
  </si>
  <si>
    <r>
      <t>H</t>
    </r>
    <r>
      <rPr>
        <vertAlign val="subscript"/>
        <sz val="10"/>
        <rFont val="Arial Narrow"/>
        <family val="2"/>
      </rPr>
      <t>2</t>
    </r>
  </si>
  <si>
    <r>
      <t>O</t>
    </r>
    <r>
      <rPr>
        <vertAlign val="subscript"/>
        <sz val="10"/>
        <rFont val="Arial Narrow"/>
        <family val="2"/>
      </rPr>
      <t>2</t>
    </r>
  </si>
  <si>
    <r>
      <t>S</t>
    </r>
    <r>
      <rPr>
        <vertAlign val="subscript"/>
        <sz val="10"/>
        <rFont val="Arial Narrow"/>
        <family val="2"/>
      </rPr>
      <t>2</t>
    </r>
  </si>
  <si>
    <t>17.05.22 mol/kg option in wet chemistry, it should take the H2O measured content when available. Only Anions and kg/mol available</t>
  </si>
  <si>
    <t>Cr [ppm]</t>
  </si>
  <si>
    <r>
      <t>Cr</t>
    </r>
    <r>
      <rPr>
        <vertAlign val="subscript"/>
        <sz val="10"/>
        <color indexed="8"/>
        <rFont val="Arial Narrow"/>
        <family val="2"/>
      </rPr>
      <t>2</t>
    </r>
    <r>
      <rPr>
        <sz val="10"/>
        <color indexed="8"/>
        <rFont val="Arial Narrow"/>
        <family val="2"/>
      </rPr>
      <t>O</t>
    </r>
    <r>
      <rPr>
        <vertAlign val="subscript"/>
        <sz val="10"/>
        <color indexed="8"/>
        <rFont val="Arial Narrow"/>
        <family val="2"/>
      </rPr>
      <t>3</t>
    </r>
    <r>
      <rPr>
        <sz val="10"/>
        <color indexed="8"/>
        <rFont val="Arial Narrow"/>
        <family val="2"/>
      </rPr>
      <t xml:space="preserve"> (wt.%)</t>
    </r>
  </si>
  <si>
    <t>NiO (wt.%)</t>
  </si>
  <si>
    <r>
      <t>Fe</t>
    </r>
    <r>
      <rPr>
        <vertAlign val="subscript"/>
        <sz val="10"/>
        <color indexed="8"/>
        <rFont val="Arial Narrow"/>
        <family val="2"/>
      </rPr>
      <t>2</t>
    </r>
    <r>
      <rPr>
        <sz val="10"/>
        <color indexed="8"/>
        <rFont val="Arial Narrow"/>
        <family val="2"/>
      </rPr>
      <t>O</t>
    </r>
    <r>
      <rPr>
        <vertAlign val="subscript"/>
        <sz val="10"/>
        <color indexed="8"/>
        <rFont val="Arial Narrow"/>
        <family val="2"/>
      </rPr>
      <t>3Total</t>
    </r>
    <r>
      <rPr>
        <sz val="10"/>
        <color indexed="8"/>
        <rFont val="Arial Narrow"/>
        <family val="2"/>
      </rPr>
      <t xml:space="preserve"> (wt.%)</t>
    </r>
  </si>
  <si>
    <r>
      <t>FeO</t>
    </r>
    <r>
      <rPr>
        <vertAlign val="subscript"/>
        <sz val="10"/>
        <rFont val="Arial Narrow"/>
        <family val="2"/>
      </rPr>
      <t>Total</t>
    </r>
    <r>
      <rPr>
        <sz val="10"/>
        <rFont val="Arial Narrow"/>
        <family val="2"/>
      </rPr>
      <t xml:space="preserve"> (wt.%)</t>
    </r>
  </si>
  <si>
    <t>ZnO (wt.%)</t>
  </si>
  <si>
    <r>
      <t>FeO</t>
    </r>
    <r>
      <rPr>
        <vertAlign val="subscript"/>
        <sz val="10"/>
        <rFont val="Arial Narrow"/>
        <family val="2"/>
      </rPr>
      <t>Total</t>
    </r>
    <r>
      <rPr>
        <sz val="10"/>
        <rFont val="Arial Narrow"/>
        <family val="2"/>
      </rPr>
      <t xml:space="preserve"> (wt.%) EDS measured</t>
    </r>
  </si>
  <si>
    <t>mt (wt. %)</t>
  </si>
  <si>
    <t>CB20-04</t>
  </si>
  <si>
    <t>Fe2O3 (wt.%) computed</t>
  </si>
  <si>
    <t>Fe2O3 as FeO</t>
  </si>
  <si>
    <r>
      <t>FeO</t>
    </r>
    <r>
      <rPr>
        <sz val="10"/>
        <rFont val="Arial Narrow"/>
        <family val="2"/>
      </rPr>
      <t xml:space="preserve"> (wt.%) EDS estimated</t>
    </r>
  </si>
  <si>
    <t>05.07.22 OH-F-Cl before was OH-F</t>
  </si>
  <si>
    <t>Z-34</t>
  </si>
  <si>
    <t>Massif</t>
  </si>
  <si>
    <t>Wet chemistry input works differently and O represents the actual number of O not the equivalent negative charges as above. So for lizardite, O is 7 for "Oxide input" but 9 in "Wet chemistry input"</t>
  </si>
  <si>
    <t>Lithology</t>
  </si>
  <si>
    <t>Ref</t>
  </si>
  <si>
    <r>
      <t>Fe</t>
    </r>
    <r>
      <rPr>
        <vertAlign val="superscript"/>
        <sz val="10"/>
        <color theme="4"/>
        <rFont val="Arial Narrow"/>
        <family val="2"/>
      </rPr>
      <t>3+</t>
    </r>
    <r>
      <rPr>
        <sz val="10"/>
        <color theme="4"/>
        <rFont val="Arial Narrow"/>
        <family val="2"/>
      </rPr>
      <t>/Fe</t>
    </r>
    <r>
      <rPr>
        <vertAlign val="subscript"/>
        <sz val="10"/>
        <color theme="4"/>
        <rFont val="Arial Narrow"/>
        <family val="2"/>
      </rPr>
      <t>Total</t>
    </r>
  </si>
  <si>
    <r>
      <t>H</t>
    </r>
    <r>
      <rPr>
        <vertAlign val="subscript"/>
        <sz val="10"/>
        <rFont val="Arial Narrow"/>
        <family val="2"/>
      </rPr>
      <t>2</t>
    </r>
    <r>
      <rPr>
        <sz val="10"/>
        <rFont val="Arial Narrow"/>
        <family val="2"/>
      </rPr>
      <t>O</t>
    </r>
  </si>
  <si>
    <t>Other norm</t>
  </si>
  <si>
    <r>
      <t>O</t>
    </r>
    <r>
      <rPr>
        <vertAlign val="subscript"/>
        <sz val="10"/>
        <color rgb="FF000000"/>
        <rFont val="Arial Narrow"/>
        <family val="2"/>
      </rPr>
      <t>2</t>
    </r>
    <r>
      <rPr>
        <sz val="10"/>
        <color rgb="FF000000"/>
        <rFont val="Arial Narrow"/>
        <family val="2"/>
      </rPr>
      <t>/O/Fe</t>
    </r>
    <r>
      <rPr>
        <vertAlign val="subscript"/>
        <sz val="10"/>
        <color rgb="FF000000"/>
        <rFont val="Arial Narrow"/>
        <family val="2"/>
      </rPr>
      <t>2</t>
    </r>
    <r>
      <rPr>
        <sz val="10"/>
        <color rgb="FF000000"/>
        <rFont val="Arial Narrow"/>
        <family val="2"/>
      </rPr>
      <t>O</t>
    </r>
    <r>
      <rPr>
        <vertAlign val="subscript"/>
        <sz val="10"/>
        <color rgb="FF000000"/>
        <rFont val="Arial Narrow"/>
        <family val="2"/>
      </rPr>
      <t>3</t>
    </r>
  </si>
  <si>
    <t>17.04.23 Added the Whole Rock compositon in mol.% using O2, O or Fe2O3 to treat the extra O</t>
  </si>
  <si>
    <t>Code</t>
  </si>
  <si>
    <t>Symbol</t>
  </si>
  <si>
    <t>Tielin</t>
  </si>
  <si>
    <t>Size</t>
  </si>
  <si>
    <t>Label</t>
  </si>
  <si>
    <t>Type</t>
  </si>
  <si>
    <t>Source</t>
  </si>
  <si>
    <t>Color 1</t>
  </si>
  <si>
    <t>Color 2</t>
  </si>
  <si>
    <t>yes</t>
  </si>
  <si>
    <t>Corundum</t>
  </si>
  <si>
    <t>Spl</t>
  </si>
  <si>
    <t>Spinel</t>
  </si>
  <si>
    <t>Qz</t>
  </si>
  <si>
    <t>Quartz</t>
  </si>
  <si>
    <t>Adl</t>
  </si>
  <si>
    <t>Adularia</t>
  </si>
  <si>
    <t>Brl</t>
  </si>
  <si>
    <t>Beryl</t>
  </si>
  <si>
    <t>Bdy</t>
  </si>
  <si>
    <t>Zirconia (8 mol. Y2O3)</t>
  </si>
  <si>
    <t>Baddeleyte</t>
  </si>
  <si>
    <t>Gp</t>
  </si>
  <si>
    <t>Gypsum</t>
  </si>
  <si>
    <t>Brk</t>
  </si>
  <si>
    <t>Brookite</t>
  </si>
  <si>
    <t>Ant</t>
  </si>
  <si>
    <t>Anastase</t>
  </si>
  <si>
    <t>Rt</t>
  </si>
  <si>
    <t>Rutile</t>
  </si>
  <si>
    <t>Clt</t>
  </si>
  <si>
    <t>Celestite</t>
  </si>
  <si>
    <t>Cst</t>
  </si>
  <si>
    <t>Cassiterite</t>
  </si>
  <si>
    <t>Ap</t>
  </si>
  <si>
    <t>Van</t>
  </si>
  <si>
    <t>Vanadinite</t>
  </si>
  <si>
    <t>Cerusite</t>
  </si>
  <si>
    <t>Wul</t>
  </si>
  <si>
    <t>Wulfenite</t>
  </si>
  <si>
    <t>Chrysoberyl</t>
  </si>
  <si>
    <t>Cpr</t>
  </si>
  <si>
    <t>Cuprite</t>
  </si>
  <si>
    <t>Magnetite</t>
  </si>
  <si>
    <t>Hem</t>
  </si>
  <si>
    <t>Hematite</t>
  </si>
  <si>
    <t>Eng</t>
  </si>
  <si>
    <t>Enargite</t>
  </si>
  <si>
    <t>Tau</t>
  </si>
  <si>
    <t>Tausonite</t>
  </si>
  <si>
    <t>Sch</t>
  </si>
  <si>
    <t>Scheelite</t>
  </si>
  <si>
    <t>Spn</t>
  </si>
  <si>
    <t>Prv</t>
  </si>
  <si>
    <t>Perovskite</t>
  </si>
  <si>
    <t>YAG</t>
  </si>
  <si>
    <t>Dolomite</t>
  </si>
  <si>
    <t>B</t>
  </si>
  <si>
    <t>Benitoite</t>
  </si>
  <si>
    <t>sulphate</t>
  </si>
  <si>
    <t>Barite</t>
  </si>
  <si>
    <t>Calcite</t>
  </si>
  <si>
    <t>Aragonite</t>
  </si>
  <si>
    <t>sulf</t>
  </si>
  <si>
    <t>Marmatite</t>
  </si>
  <si>
    <t>Siderite</t>
  </si>
  <si>
    <t>py</t>
  </si>
  <si>
    <t>Wurtzite</t>
  </si>
  <si>
    <t>Marcasite</t>
  </si>
  <si>
    <t>Pyrite</t>
  </si>
  <si>
    <t>Albite B</t>
  </si>
  <si>
    <t xml:space="preserve">Albite A </t>
  </si>
  <si>
    <t>Pent</t>
  </si>
  <si>
    <t>pentlandite</t>
  </si>
  <si>
    <t>Viera-Duarte</t>
  </si>
  <si>
    <t>fluorite</t>
  </si>
  <si>
    <t>Py</t>
  </si>
  <si>
    <t>pyrite</t>
  </si>
  <si>
    <t>magnesite</t>
  </si>
  <si>
    <t>Heazlewoodite</t>
  </si>
  <si>
    <t>apfu</t>
  </si>
  <si>
    <t>factor</t>
  </si>
  <si>
    <t>Elem</t>
  </si>
  <si>
    <r>
      <t>Fe</t>
    </r>
    <r>
      <rPr>
        <vertAlign val="superscript"/>
        <sz val="10"/>
        <color theme="1"/>
        <rFont val="Arial Narrow"/>
        <family val="2"/>
      </rPr>
      <t>2+</t>
    </r>
  </si>
  <si>
    <r>
      <t>Fe</t>
    </r>
    <r>
      <rPr>
        <vertAlign val="superscript"/>
        <sz val="10"/>
        <color theme="1"/>
        <rFont val="Arial Narrow"/>
        <family val="2"/>
      </rPr>
      <t>3+</t>
    </r>
  </si>
  <si>
    <t>Fe</t>
  </si>
  <si>
    <t>02.10.23. Corrected P in Elemental input</t>
  </si>
  <si>
    <r>
      <t>Si</t>
    </r>
    <r>
      <rPr>
        <vertAlign val="subscript"/>
        <sz val="10"/>
        <color theme="1"/>
        <rFont val="Arial Narrow"/>
        <family val="2"/>
      </rPr>
      <t>1/2</t>
    </r>
    <r>
      <rPr>
        <sz val="10"/>
        <color theme="1"/>
        <rFont val="Arial Narrow"/>
        <family val="2"/>
      </rPr>
      <t>O</t>
    </r>
  </si>
  <si>
    <r>
      <t>Al</t>
    </r>
    <r>
      <rPr>
        <vertAlign val="subscript"/>
        <sz val="10"/>
        <color theme="1"/>
        <rFont val="Arial Narrow"/>
        <family val="2"/>
      </rPr>
      <t>2/3</t>
    </r>
    <r>
      <rPr>
        <sz val="10"/>
        <color theme="1"/>
        <rFont val="Arial Narrow"/>
        <family val="2"/>
      </rPr>
      <t>O</t>
    </r>
  </si>
  <si>
    <r>
      <t>Cr</t>
    </r>
    <r>
      <rPr>
        <vertAlign val="subscript"/>
        <sz val="10"/>
        <color theme="1"/>
        <rFont val="Arial Narrow"/>
        <family val="2"/>
      </rPr>
      <t>2/3</t>
    </r>
    <r>
      <rPr>
        <sz val="10"/>
        <color theme="1"/>
        <rFont val="Arial Narrow"/>
        <family val="2"/>
      </rPr>
      <t>O</t>
    </r>
  </si>
  <si>
    <r>
      <t>P</t>
    </r>
    <r>
      <rPr>
        <vertAlign val="subscript"/>
        <sz val="10"/>
        <color indexed="8"/>
        <rFont val="Arial Narrow"/>
        <family val="2"/>
      </rPr>
      <t>2/5</t>
    </r>
    <r>
      <rPr>
        <sz val="10"/>
        <color indexed="8"/>
        <rFont val="Arial Narrow"/>
        <family val="2"/>
      </rPr>
      <t>O</t>
    </r>
  </si>
  <si>
    <t>18.10.23 Include oxy equivalent calculation in "Wet chemistry input"</t>
  </si>
  <si>
    <t>Ni [ppm]</t>
  </si>
  <si>
    <t>Zn [ppm]</t>
  </si>
  <si>
    <t>Ilvaite</t>
  </si>
  <si>
    <t>Ilv</t>
  </si>
  <si>
    <t>(both)</t>
  </si>
  <si>
    <t>26.10.23 Ilvaite added in Oxide input). Courtesy of Rémi Coltat.</t>
  </si>
  <si>
    <t>27.10.23 mol/kg in XRF also when Fe as FeOtotal. Added ferric iron based on stoichiometry for garnet (EPMA)</t>
  </si>
  <si>
    <t>Other units</t>
  </si>
  <si>
    <t>oxy-equivalent</t>
  </si>
  <si>
    <t>fo</t>
  </si>
  <si>
    <t>Endmembers</t>
  </si>
  <si>
    <t>fa</t>
  </si>
  <si>
    <t>en</t>
  </si>
  <si>
    <t>fs</t>
  </si>
  <si>
    <t>diopside</t>
  </si>
  <si>
    <t>prg</t>
  </si>
  <si>
    <t>ts</t>
  </si>
  <si>
    <t>tr</t>
  </si>
  <si>
    <t>an</t>
  </si>
  <si>
    <t>ab</t>
  </si>
  <si>
    <t>spl</t>
  </si>
  <si>
    <t>chr</t>
  </si>
  <si>
    <t>mgt</t>
  </si>
  <si>
    <r>
      <t>Ti</t>
    </r>
    <r>
      <rPr>
        <vertAlign val="subscript"/>
        <sz val="10"/>
        <color theme="1"/>
        <rFont val="Arial Narrow"/>
        <family val="2"/>
      </rPr>
      <t>1/2</t>
    </r>
    <r>
      <rPr>
        <sz val="10"/>
        <color theme="1"/>
        <rFont val="Arial Narrow"/>
        <family val="2"/>
      </rPr>
      <t>O</t>
    </r>
  </si>
  <si>
    <r>
      <t>O</t>
    </r>
    <r>
      <rPr>
        <vertAlign val="subscript"/>
        <sz val="10"/>
        <color theme="7"/>
        <rFont val="Arial Narrow"/>
        <family val="2"/>
      </rPr>
      <t>2</t>
    </r>
  </si>
  <si>
    <r>
      <t>CO</t>
    </r>
    <r>
      <rPr>
        <vertAlign val="subscript"/>
        <sz val="10"/>
        <rFont val="Arial Narrow"/>
        <family val="2"/>
      </rPr>
      <t>2</t>
    </r>
  </si>
  <si>
    <r>
      <t>F</t>
    </r>
    <r>
      <rPr>
        <vertAlign val="subscript"/>
        <sz val="10"/>
        <rFont val="Arial Narrow"/>
        <family val="2"/>
      </rPr>
      <t>2</t>
    </r>
  </si>
  <si>
    <r>
      <t>Cl</t>
    </r>
    <r>
      <rPr>
        <vertAlign val="subscript"/>
        <sz val="10"/>
        <rFont val="Arial Narrow"/>
        <family val="2"/>
      </rPr>
      <t>2</t>
    </r>
  </si>
  <si>
    <r>
      <t>S</t>
    </r>
    <r>
      <rPr>
        <sz val="10"/>
        <color indexed="8"/>
        <rFont val="Arial Narrow"/>
        <family val="2"/>
      </rPr>
      <t>O</t>
    </r>
    <r>
      <rPr>
        <vertAlign val="subscript"/>
        <sz val="10"/>
        <color indexed="8"/>
        <rFont val="Arial Narrow"/>
        <family val="2"/>
      </rPr>
      <t>3</t>
    </r>
  </si>
  <si>
    <t>9.11.23 to do… properly implement CO2, S2, F2 and Cl2 in "other norms"</t>
  </si>
  <si>
    <t>mol/kg</t>
  </si>
  <si>
    <t>21.11.23 If C as CO2 and graphite are measured use only mol/kg (not yet implemented for other norms)</t>
  </si>
  <si>
    <t>Scp</t>
  </si>
  <si>
    <t>24.11.23 Scapolite</t>
  </si>
  <si>
    <t>Scapolite (gorup)</t>
  </si>
  <si>
    <t>TK-01</t>
  </si>
  <si>
    <t>KH97-113</t>
  </si>
  <si>
    <t>with estimated ferric iron</t>
  </si>
  <si>
    <t>Salters and Stracke (2004) G3</t>
  </si>
  <si>
    <t>Ref Mantle, MnO and NiO, ZnO excluded for modelling</t>
  </si>
  <si>
    <t>DM</t>
  </si>
  <si>
    <t>Ti [ppm]</t>
  </si>
  <si>
    <r>
      <t>TiO</t>
    </r>
    <r>
      <rPr>
        <vertAlign val="subscript"/>
        <sz val="10"/>
        <color indexed="8"/>
        <rFont val="Arial Narrow"/>
        <family val="2"/>
      </rPr>
      <t>2</t>
    </r>
    <r>
      <rPr>
        <sz val="10"/>
        <color indexed="8"/>
        <rFont val="Arial Narrow"/>
        <family val="2"/>
      </rPr>
      <t xml:space="preserve"> (wt.%)</t>
    </r>
  </si>
  <si>
    <t>500 ppm</t>
  </si>
  <si>
    <t>14.12.23 fixed 'both' for Na in Oxide input (EPMA) and 'both' for Opx  (courtesy of MRF)</t>
  </si>
  <si>
    <t>José Alberto Padrón-Navarta</t>
  </si>
  <si>
    <r>
      <t>H</t>
    </r>
    <r>
      <rPr>
        <vertAlign val="subscript"/>
        <sz val="10"/>
        <color theme="1"/>
        <rFont val="Arial Narrow"/>
        <family val="2"/>
      </rPr>
      <t>2</t>
    </r>
    <r>
      <rPr>
        <sz val="10"/>
        <color theme="1"/>
        <rFont val="Arial Narrow"/>
        <family val="2"/>
      </rPr>
      <t>O</t>
    </r>
  </si>
  <si>
    <t>oxide wt.%</t>
  </si>
  <si>
    <r>
      <t>CO</t>
    </r>
    <r>
      <rPr>
        <vertAlign val="subscript"/>
        <sz val="10"/>
        <color theme="1"/>
        <rFont val="Arial Narrow"/>
        <family val="2"/>
      </rPr>
      <t>2</t>
    </r>
  </si>
  <si>
    <t>ideal m = 17</t>
  </si>
  <si>
    <t>ValMalenco</t>
  </si>
  <si>
    <t>16.01.24 added apfu to oxide wt. In apfu input (useful when going from structural formulae to oxide wt.%)</t>
  </si>
  <si>
    <t>Atg-atgts</t>
  </si>
  <si>
    <r>
      <t>Fe</t>
    </r>
    <r>
      <rPr>
        <vertAlign val="subscript"/>
        <sz val="10"/>
        <rFont val="Arial Narrow"/>
        <family val="2"/>
      </rPr>
      <t>2</t>
    </r>
    <r>
      <rPr>
        <sz val="10"/>
        <rFont val="Arial Narrow"/>
        <family val="2"/>
      </rPr>
      <t>O</t>
    </r>
    <r>
      <rPr>
        <vertAlign val="subscript"/>
        <sz val="10"/>
        <rFont val="Arial Narrow"/>
        <family val="2"/>
      </rPr>
      <t>3</t>
    </r>
    <r>
      <rPr>
        <vertAlign val="superscript"/>
        <sz val="10"/>
        <rFont val="Arial Narrow"/>
        <family val="2"/>
      </rPr>
      <t>estimated</t>
    </r>
    <r>
      <rPr>
        <sz val="10"/>
        <rFont val="Arial Narrow"/>
        <family val="2"/>
      </rPr>
      <t xml:space="preserve"> (wt.%)</t>
    </r>
  </si>
  <si>
    <r>
      <t>FeO</t>
    </r>
    <r>
      <rPr>
        <vertAlign val="superscript"/>
        <sz val="10"/>
        <rFont val="Arial Narrow"/>
        <family val="2"/>
      </rPr>
      <t>measured</t>
    </r>
    <r>
      <rPr>
        <sz val="10"/>
        <rFont val="Arial Narrow"/>
        <family val="2"/>
      </rPr>
      <t xml:space="preserve"> (wt.%)</t>
    </r>
  </si>
  <si>
    <r>
      <t>Fe</t>
    </r>
    <r>
      <rPr>
        <vertAlign val="superscript"/>
        <sz val="10"/>
        <rFont val="Arial Narrow"/>
        <family val="2"/>
      </rPr>
      <t>3+</t>
    </r>
    <r>
      <rPr>
        <sz val="10"/>
        <rFont val="Arial Narrow"/>
        <family val="2"/>
      </rPr>
      <t>/Fe</t>
    </r>
    <r>
      <rPr>
        <vertAlign val="subscript"/>
        <sz val="10"/>
        <rFont val="Arial Narrow"/>
        <family val="2"/>
      </rPr>
      <t>Total</t>
    </r>
  </si>
  <si>
    <t>16.01.24 version 0.23 some corrections</t>
  </si>
  <si>
    <r>
      <t>Cl</t>
    </r>
    <r>
      <rPr>
        <vertAlign val="subscript"/>
        <sz val="10"/>
        <color theme="1"/>
        <rFont val="Arial Narrow"/>
        <family val="2"/>
      </rPr>
      <t>2</t>
    </r>
  </si>
  <si>
    <r>
      <t>S</t>
    </r>
    <r>
      <rPr>
        <vertAlign val="subscript"/>
        <sz val="10"/>
        <color theme="1"/>
        <rFont val="Arial Narrow"/>
        <family val="2"/>
      </rPr>
      <t>2</t>
    </r>
  </si>
  <si>
    <r>
      <t>N</t>
    </r>
    <r>
      <rPr>
        <vertAlign val="subscript"/>
        <sz val="10"/>
        <color theme="1"/>
        <rFont val="Arial Narrow"/>
        <family val="2"/>
      </rPr>
      <t>2</t>
    </r>
  </si>
  <si>
    <t>Database</t>
  </si>
  <si>
    <t>T</t>
  </si>
  <si>
    <t>N</t>
  </si>
  <si>
    <r>
      <t>V</t>
    </r>
    <r>
      <rPr>
        <vertAlign val="subscript"/>
        <sz val="10"/>
        <color indexed="8"/>
        <rFont val="Arial Narrow"/>
        <family val="2"/>
      </rPr>
      <t>2</t>
    </r>
    <r>
      <rPr>
        <sz val="10"/>
        <color indexed="8"/>
        <rFont val="Arial Narrow"/>
        <family val="2"/>
      </rPr>
      <t>O</t>
    </r>
    <r>
      <rPr>
        <vertAlign val="subscript"/>
        <sz val="10"/>
        <color indexed="8"/>
        <rFont val="Arial Narrow"/>
        <family val="2"/>
      </rPr>
      <t>3</t>
    </r>
  </si>
  <si>
    <t>nolanite</t>
  </si>
  <si>
    <t>Nol</t>
  </si>
  <si>
    <t>Se</t>
  </si>
  <si>
    <t>Te</t>
  </si>
  <si>
    <t>Sb</t>
  </si>
  <si>
    <t>%</t>
  </si>
  <si>
    <t>Samuel</t>
  </si>
  <si>
    <t xml:space="preserve">MA16-45-3 </t>
  </si>
  <si>
    <t>27.02.24 version 0.24 V2O3 added and checked against nolanite in (Oxide input EPMA) and Se, Sb and Te in Elemental input courtesy SC and MRF.</t>
  </si>
  <si>
    <t>webmineral</t>
  </si>
  <si>
    <t>CoO</t>
  </si>
  <si>
    <t>CuO</t>
  </si>
  <si>
    <t>BaO</t>
  </si>
  <si>
    <t>SrO</t>
  </si>
  <si>
    <t>PbO</t>
  </si>
  <si>
    <r>
      <t>V</t>
    </r>
    <r>
      <rPr>
        <vertAlign val="subscript"/>
        <sz val="10"/>
        <rFont val="Arial Narrow"/>
        <family val="2"/>
      </rPr>
      <t>2</t>
    </r>
    <r>
      <rPr>
        <sz val="10"/>
        <rFont val="Arial Narrow"/>
        <family val="2"/>
      </rPr>
      <t>O</t>
    </r>
    <r>
      <rPr>
        <vertAlign val="subscript"/>
        <sz val="10"/>
        <rFont val="Arial Narrow"/>
        <family val="2"/>
      </rPr>
      <t>5</t>
    </r>
  </si>
  <si>
    <r>
      <t>SnO</t>
    </r>
    <r>
      <rPr>
        <vertAlign val="subscript"/>
        <sz val="10"/>
        <rFont val="Arial Narrow"/>
        <family val="2"/>
      </rPr>
      <t>2</t>
    </r>
  </si>
  <si>
    <r>
      <t>ZrO</t>
    </r>
    <r>
      <rPr>
        <vertAlign val="subscript"/>
        <sz val="10"/>
        <rFont val="Arial Narrow"/>
        <family val="2"/>
      </rPr>
      <t>2</t>
    </r>
  </si>
  <si>
    <r>
      <t>WO</t>
    </r>
    <r>
      <rPr>
        <vertAlign val="subscript"/>
        <sz val="10"/>
        <rFont val="Arial Narrow"/>
        <family val="2"/>
      </rPr>
      <t>3</t>
    </r>
  </si>
  <si>
    <r>
      <t>As</t>
    </r>
    <r>
      <rPr>
        <vertAlign val="subscript"/>
        <sz val="10"/>
        <rFont val="Arial Narrow"/>
        <family val="2"/>
      </rPr>
      <t>2</t>
    </r>
    <r>
      <rPr>
        <sz val="10"/>
        <rFont val="Arial Narrow"/>
        <family val="2"/>
      </rPr>
      <t>O</t>
    </r>
    <r>
      <rPr>
        <vertAlign val="subscript"/>
        <sz val="10"/>
        <rFont val="Arial Narrow"/>
        <family val="2"/>
      </rPr>
      <t>5</t>
    </r>
  </si>
  <si>
    <t>BeO</t>
  </si>
  <si>
    <r>
      <t>Y</t>
    </r>
    <r>
      <rPr>
        <vertAlign val="subscript"/>
        <sz val="10"/>
        <rFont val="Arial Narrow"/>
        <family val="2"/>
      </rPr>
      <t>2</t>
    </r>
    <r>
      <rPr>
        <sz val="10"/>
        <rFont val="Arial Narrow"/>
        <family val="2"/>
      </rPr>
      <t>O</t>
    </r>
    <r>
      <rPr>
        <vertAlign val="subscript"/>
        <sz val="10"/>
        <rFont val="Arial Narrow"/>
        <family val="2"/>
      </rPr>
      <t>3</t>
    </r>
  </si>
  <si>
    <r>
      <t>MoO</t>
    </r>
    <r>
      <rPr>
        <vertAlign val="subscript"/>
        <sz val="10"/>
        <rFont val="Arial Narrow"/>
        <family val="2"/>
      </rPr>
      <t>3</t>
    </r>
  </si>
  <si>
    <t>Na     </t>
  </si>
  <si>
    <t>Mg     </t>
  </si>
  <si>
    <t>Al     </t>
  </si>
  <si>
    <t>Si     </t>
  </si>
  <si>
    <t>K      </t>
  </si>
  <si>
    <t>Ca     </t>
  </si>
  <si>
    <t>Ti     </t>
  </si>
  <si>
    <t>Mn     </t>
  </si>
  <si>
    <t>Fe     </t>
  </si>
  <si>
    <t>Ni     </t>
  </si>
  <si>
    <t>Zr     </t>
  </si>
  <si>
    <t>Cl2    </t>
  </si>
  <si>
    <t>O2     </t>
  </si>
  <si>
    <t>H2     </t>
  </si>
  <si>
    <t>C      </t>
  </si>
  <si>
    <t>Cu     </t>
  </si>
  <si>
    <t>Cr     </t>
  </si>
  <si>
    <t>S2     </t>
  </si>
  <si>
    <t>F2     </t>
  </si>
  <si>
    <t>N2     </t>
  </si>
  <si>
    <t>NA2O   </t>
  </si>
  <si>
    <t>MGO    </t>
  </si>
  <si>
    <t>AL2O3  </t>
  </si>
  <si>
    <t>SIO2   </t>
  </si>
  <si>
    <t>K2O    </t>
  </si>
  <si>
    <t>CAO    </t>
  </si>
  <si>
    <t>TIO2   </t>
  </si>
  <si>
    <t>MNO    </t>
  </si>
  <si>
    <t>FEO    </t>
  </si>
  <si>
    <t>NIO    </t>
  </si>
  <si>
    <t>ZRO2   </t>
  </si>
  <si>
    <t>CL2    </t>
  </si>
  <si>
    <t>H2O    </t>
  </si>
  <si>
    <t>CO2    </t>
  </si>
  <si>
    <t>CUO    </t>
  </si>
  <si>
    <t>CR2O3  </t>
  </si>
  <si>
    <t>From hp11ver and 633</t>
  </si>
  <si>
    <t>g/mol</t>
  </si>
  <si>
    <t>Oxides</t>
  </si>
  <si>
    <t xml:space="preserve">Crystallography and Crystal Chemistry (1994 ) MSA F. Donals Bloss </t>
  </si>
  <si>
    <t>Cu*</t>
  </si>
  <si>
    <t>*CuO</t>
  </si>
  <si>
    <t>Ref. OS</t>
  </si>
  <si>
    <t>Reference oxidation state</t>
  </si>
  <si>
    <t xml:space="preserve">Cation </t>
  </si>
  <si>
    <t>Anion</t>
  </si>
  <si>
    <r>
      <t>TeO</t>
    </r>
    <r>
      <rPr>
        <vertAlign val="subscript"/>
        <sz val="10"/>
        <rFont val="Arial Narrow"/>
        <family val="2"/>
      </rPr>
      <t>2</t>
    </r>
  </si>
  <si>
    <r>
      <t>Sb</t>
    </r>
    <r>
      <rPr>
        <vertAlign val="subscript"/>
        <sz val="10"/>
        <rFont val="Arial Narrow"/>
        <family val="2"/>
      </rPr>
      <t>2</t>
    </r>
    <r>
      <rPr>
        <sz val="10"/>
        <rFont val="Arial Narrow"/>
        <family val="2"/>
      </rPr>
      <t>O</t>
    </r>
    <r>
      <rPr>
        <vertAlign val="subscript"/>
        <sz val="10"/>
        <rFont val="Arial Narrow"/>
        <family val="2"/>
      </rPr>
      <t>5</t>
    </r>
  </si>
  <si>
    <r>
      <t>SeO</t>
    </r>
    <r>
      <rPr>
        <vertAlign val="subscript"/>
        <sz val="10"/>
        <rFont val="Arial Narrow"/>
        <family val="2"/>
      </rPr>
      <t>2</t>
    </r>
  </si>
  <si>
    <t>pyromorphite</t>
  </si>
  <si>
    <t>cerussite</t>
  </si>
  <si>
    <t>benitoite</t>
  </si>
  <si>
    <t>vanadinite</t>
  </si>
  <si>
    <t>18.04.24 version 0.26 Several elements added to apfu input (not yet considering Cl2=O, todo)</t>
  </si>
  <si>
    <t>cassiterite</t>
  </si>
  <si>
    <t>wolframite</t>
  </si>
  <si>
    <t>austinite</t>
  </si>
  <si>
    <t>beryl</t>
  </si>
  <si>
    <t>Donnayite-(Y)</t>
  </si>
  <si>
    <t>Powellite</t>
  </si>
  <si>
    <t>Spectrum 71</t>
  </si>
  <si>
    <t>Spectrum 72</t>
  </si>
  <si>
    <t>Spectrum 73</t>
  </si>
  <si>
    <t>Spectrum 639</t>
  </si>
  <si>
    <t>Spectrum 640</t>
  </si>
  <si>
    <t>Spectrum 641</t>
  </si>
  <si>
    <t>Spectrum 642</t>
  </si>
  <si>
    <t>Spectrum 643</t>
  </si>
  <si>
    <t>Spectrum 644</t>
  </si>
  <si>
    <t>Spectrum 700</t>
  </si>
  <si>
    <t>Spectrum 701</t>
  </si>
  <si>
    <t>Berlinite</t>
  </si>
  <si>
    <t>Spectrum 4</t>
  </si>
  <si>
    <t>Spectrum 5</t>
  </si>
  <si>
    <t>Spectrum 6</t>
  </si>
  <si>
    <t>Spectrum 677</t>
  </si>
  <si>
    <t>Spectrum 678</t>
  </si>
  <si>
    <t>Spectrum 679</t>
  </si>
  <si>
    <t>Spectrum 680</t>
  </si>
  <si>
    <t>Spectrum 681</t>
  </si>
  <si>
    <t>Spectrum 1</t>
  </si>
  <si>
    <t>Spectrum 2</t>
  </si>
  <si>
    <t>Spectrum 3</t>
  </si>
  <si>
    <t>Spectrum 7</t>
  </si>
  <si>
    <t>Spectrum 8</t>
  </si>
  <si>
    <t>Spectrum 9</t>
  </si>
  <si>
    <t>Spectrum 10</t>
  </si>
  <si>
    <t>Spectrum 11</t>
  </si>
  <si>
    <t>Spectrum 12</t>
  </si>
  <si>
    <t>Spectrum 13</t>
  </si>
  <si>
    <t>Spectrum 14</t>
  </si>
  <si>
    <t>Spectrum 15</t>
  </si>
  <si>
    <t>Spectrum 16</t>
  </si>
  <si>
    <t>Spectrum 17</t>
  </si>
  <si>
    <t>Spectrum 18</t>
  </si>
  <si>
    <t>Spectrum 20</t>
  </si>
  <si>
    <t>Spectrum 21</t>
  </si>
  <si>
    <t>Spectrum 22</t>
  </si>
  <si>
    <t>Spectrum 23</t>
  </si>
  <si>
    <t>Spectrum 24</t>
  </si>
  <si>
    <t>Spectrum 25</t>
  </si>
  <si>
    <t>Spectrum 26</t>
  </si>
  <si>
    <t>91290_W</t>
  </si>
  <si>
    <r>
      <t>Fe</t>
    </r>
    <r>
      <rPr>
        <vertAlign val="superscript"/>
        <sz val="10"/>
        <color theme="3"/>
        <rFont val="Arial Narrow"/>
        <family val="2"/>
      </rPr>
      <t>3+</t>
    </r>
    <r>
      <rPr>
        <sz val="10"/>
        <color theme="3"/>
        <rFont val="Arial Narrow"/>
        <family val="2"/>
      </rPr>
      <t>/Fe</t>
    </r>
    <r>
      <rPr>
        <vertAlign val="subscript"/>
        <sz val="10"/>
        <color theme="3"/>
        <rFont val="Arial Narrow"/>
        <family val="2"/>
      </rPr>
      <t>Total</t>
    </r>
  </si>
  <si>
    <t>c233-1</t>
  </si>
  <si>
    <t>c233-2</t>
  </si>
  <si>
    <t>c233-3</t>
  </si>
  <si>
    <t>days</t>
  </si>
  <si>
    <t>C233: gabbronorite KH97-113</t>
  </si>
  <si>
    <t>both</t>
  </si>
  <si>
    <t>18.04.24 version 0.27 major issue in "both" method for EPMA due to incorrect column for Cr. Corrected against thesis data on cpx</t>
  </si>
  <si>
    <t/>
  </si>
  <si>
    <r>
      <t>Fe</t>
    </r>
    <r>
      <rPr>
        <vertAlign val="superscript"/>
        <sz val="10"/>
        <color theme="0" tint="-0.14999847407452621"/>
        <rFont val="Arial Narrow"/>
        <family val="2"/>
      </rPr>
      <t>0</t>
    </r>
  </si>
  <si>
    <r>
      <t>Ni</t>
    </r>
    <r>
      <rPr>
        <vertAlign val="superscript"/>
        <sz val="10"/>
        <color theme="0" tint="-0.14999847407452621"/>
        <rFont val="Arial Narrow"/>
        <family val="2"/>
      </rPr>
      <t>0</t>
    </r>
  </si>
  <si>
    <r>
      <t>Ni</t>
    </r>
    <r>
      <rPr>
        <vertAlign val="superscript"/>
        <sz val="10"/>
        <color theme="0" tint="-0.14999847407452621"/>
        <rFont val="Arial Narrow"/>
        <family val="2"/>
      </rPr>
      <t>2+</t>
    </r>
  </si>
  <si>
    <r>
      <t>Cu</t>
    </r>
    <r>
      <rPr>
        <vertAlign val="superscript"/>
        <sz val="10"/>
        <color theme="0" tint="-0.14999847407452621"/>
        <rFont val="Arial Narrow"/>
        <family val="2"/>
      </rPr>
      <t>0</t>
    </r>
  </si>
  <si>
    <r>
      <t>Cu</t>
    </r>
    <r>
      <rPr>
        <vertAlign val="superscript"/>
        <sz val="10"/>
        <color theme="0" tint="-0.14999847407452621"/>
        <rFont val="Arial Narrow"/>
        <family val="2"/>
      </rPr>
      <t>2+</t>
    </r>
  </si>
  <si>
    <r>
      <t>C</t>
    </r>
    <r>
      <rPr>
        <vertAlign val="superscript"/>
        <sz val="10"/>
        <color theme="0" tint="-0.14999847407452621"/>
        <rFont val="Arial Narrow"/>
        <family val="2"/>
      </rPr>
      <t>0</t>
    </r>
  </si>
  <si>
    <r>
      <t>C</t>
    </r>
    <r>
      <rPr>
        <vertAlign val="superscript"/>
        <sz val="10"/>
        <color theme="0" tint="-0.14999847407452621"/>
        <rFont val="Arial Narrow"/>
        <family val="2"/>
      </rPr>
      <t>4+</t>
    </r>
  </si>
  <si>
    <r>
      <t>S</t>
    </r>
    <r>
      <rPr>
        <vertAlign val="superscript"/>
        <sz val="10"/>
        <color theme="0" tint="-0.14999847407452621"/>
        <rFont val="Arial Narrow"/>
        <family val="2"/>
      </rPr>
      <t>2-</t>
    </r>
  </si>
  <si>
    <r>
      <t>S</t>
    </r>
    <r>
      <rPr>
        <vertAlign val="superscript"/>
        <sz val="10"/>
        <color theme="0" tint="-0.14999847407452621"/>
        <rFont val="Arial Narrow"/>
        <family val="2"/>
      </rPr>
      <t>-</t>
    </r>
  </si>
  <si>
    <r>
      <t>S</t>
    </r>
    <r>
      <rPr>
        <vertAlign val="superscript"/>
        <sz val="10"/>
        <color theme="0" tint="-0.14999847407452621"/>
        <rFont val="Arial Narrow"/>
        <family val="2"/>
      </rPr>
      <t>0</t>
    </r>
  </si>
  <si>
    <r>
      <t>S</t>
    </r>
    <r>
      <rPr>
        <vertAlign val="superscript"/>
        <sz val="10"/>
        <color theme="0" tint="-0.14999847407452621"/>
        <rFont val="Arial Narrow"/>
        <family val="2"/>
      </rPr>
      <t>4+</t>
    </r>
  </si>
  <si>
    <r>
      <t>V</t>
    </r>
    <r>
      <rPr>
        <vertAlign val="subscript"/>
        <sz val="10"/>
        <rFont val="Arial"/>
        <family val="2"/>
      </rPr>
      <t>2</t>
    </r>
    <r>
      <rPr>
        <sz val="10"/>
        <rFont val="Arial"/>
        <family val="2"/>
      </rPr>
      <t>O</t>
    </r>
    <r>
      <rPr>
        <vertAlign val="subscript"/>
        <sz val="10"/>
        <rFont val="Arial"/>
        <family val="2"/>
      </rPr>
      <t>5</t>
    </r>
  </si>
  <si>
    <r>
      <t>SnO</t>
    </r>
    <r>
      <rPr>
        <vertAlign val="subscript"/>
        <sz val="10"/>
        <rFont val="Arial"/>
        <family val="2"/>
      </rPr>
      <t>2</t>
    </r>
  </si>
  <si>
    <r>
      <t>*ZrO</t>
    </r>
    <r>
      <rPr>
        <vertAlign val="subscript"/>
        <sz val="10"/>
        <rFont val="Arial"/>
        <family val="2"/>
      </rPr>
      <t>2</t>
    </r>
  </si>
  <si>
    <r>
      <t>Y</t>
    </r>
    <r>
      <rPr>
        <vertAlign val="subscript"/>
        <sz val="10"/>
        <rFont val="Arial"/>
        <family val="2"/>
      </rPr>
      <t>2</t>
    </r>
    <r>
      <rPr>
        <sz val="10"/>
        <rFont val="Arial"/>
        <family val="2"/>
      </rPr>
      <t>O</t>
    </r>
    <r>
      <rPr>
        <vertAlign val="subscript"/>
        <sz val="10"/>
        <rFont val="Arial"/>
        <family val="2"/>
      </rPr>
      <t>3</t>
    </r>
  </si>
  <si>
    <r>
      <t>MoO</t>
    </r>
    <r>
      <rPr>
        <vertAlign val="subscript"/>
        <sz val="10"/>
        <rFont val="Arial"/>
        <family val="2"/>
      </rPr>
      <t>3</t>
    </r>
  </si>
  <si>
    <r>
      <t>WO</t>
    </r>
    <r>
      <rPr>
        <vertAlign val="subscript"/>
        <sz val="10"/>
        <rFont val="Arial"/>
        <family val="2"/>
      </rPr>
      <t>3</t>
    </r>
  </si>
  <si>
    <r>
      <t>As</t>
    </r>
    <r>
      <rPr>
        <vertAlign val="subscript"/>
        <sz val="10"/>
        <rFont val="Arial"/>
        <family val="2"/>
      </rPr>
      <t>2</t>
    </r>
    <r>
      <rPr>
        <sz val="10"/>
        <rFont val="Arial"/>
        <family val="2"/>
      </rPr>
      <t>O</t>
    </r>
    <r>
      <rPr>
        <vertAlign val="subscript"/>
        <sz val="10"/>
        <rFont val="Arial"/>
        <family val="2"/>
      </rPr>
      <t>5</t>
    </r>
  </si>
  <si>
    <r>
      <t>SeO</t>
    </r>
    <r>
      <rPr>
        <vertAlign val="subscript"/>
        <sz val="10"/>
        <rFont val="Arial"/>
        <family val="2"/>
      </rPr>
      <t>2</t>
    </r>
  </si>
  <si>
    <r>
      <t>Sb</t>
    </r>
    <r>
      <rPr>
        <vertAlign val="subscript"/>
        <sz val="10"/>
        <rFont val="Arial"/>
        <family val="2"/>
      </rPr>
      <t>2</t>
    </r>
    <r>
      <rPr>
        <sz val="10"/>
        <rFont val="Arial"/>
        <family val="2"/>
      </rPr>
      <t>O</t>
    </r>
    <r>
      <rPr>
        <vertAlign val="subscript"/>
        <sz val="10"/>
        <rFont val="Arial"/>
        <family val="2"/>
      </rPr>
      <t>5</t>
    </r>
  </si>
  <si>
    <r>
      <t>TeO</t>
    </r>
    <r>
      <rPr>
        <vertAlign val="subscript"/>
        <sz val="10"/>
        <rFont val="Arial"/>
        <family val="2"/>
      </rPr>
      <t>2</t>
    </r>
  </si>
  <si>
    <t>PerpleX</t>
  </si>
  <si>
    <t>hp633</t>
  </si>
  <si>
    <t>spinel(TH)</t>
  </si>
  <si>
    <t>yes_O</t>
  </si>
  <si>
    <t>Mag_O</t>
  </si>
  <si>
    <t>Crn</t>
  </si>
  <si>
    <t>Ref Mantle, MnO, TiO2 and NiO, ZnO excluded for modelling</t>
  </si>
  <si>
    <t>FE2O3</t>
  </si>
  <si>
    <t>﻿Al95-20</t>
  </si>
  <si>
    <t>5 % wt + Al95-20</t>
  </si>
  <si>
    <t>Atg(LE)</t>
  </si>
  <si>
    <t>hematite</t>
  </si>
  <si>
    <t>28.10.24. version 0.28 New tab "Elemental input PerpleX (wt.%)", so far only Fe2+ and Fe3+ implemented. Tested against two spinels at two fO2</t>
  </si>
  <si>
    <t xml:space="preserve"> </t>
  </si>
  <si>
    <t>Chl(W)*</t>
  </si>
  <si>
    <t>18.03.25. version 0.29 the new tab above remaned as "Fe3+ from PerpleX (wt.%) O2", has been corrected for hydrous minerals such as antigorite and assumes that iron is either as ferric or ferrous iron only (does not take into account native iron or any redox element such as C and S). Need to be tested against other phases and in carbonates. In general is a system of equation with two unknows, so the redox state of all element but Fe need to be constrained.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</si>
</sst>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
    <numFmt numFmtId="167" formatCode="0.00000"/>
  </numFmts>
  <fonts count="51">
    <font>
      <sz val="12"/>
      <color theme="1"/>
      <name val="Calibri"/>
      <family val="2"/>
      <scheme val="minor"/>
    </font>
    <font>
      <sz val="12"/>
      <name val="Arial Narrow"/>
      <family val="2"/>
      <charset val="238"/>
    </font>
    <font>
      <sz val="10"/>
      <name val="Arial Narrow"/>
      <family val="2"/>
    </font>
    <font>
      <vertAlign val="subscript"/>
      <sz val="10"/>
      <name val="Arial Narrow"/>
      <family val="2"/>
    </font>
    <font>
      <vertAlign val="superscript"/>
      <sz val="10"/>
      <name val="Arial Narrow"/>
      <family val="2"/>
    </font>
    <font>
      <b/>
      <sz val="10"/>
      <name val="Arial Narrow"/>
      <family val="2"/>
    </font>
    <font>
      <i/>
      <sz val="10"/>
      <name val="Arial Narrow"/>
      <family val="2"/>
    </font>
    <font>
      <sz val="10"/>
      <color indexed="8"/>
      <name val="Arial Narrow"/>
      <family val="2"/>
    </font>
    <font>
      <sz val="10"/>
      <color indexed="8"/>
      <name val="Arial Narrow"/>
      <family val="2"/>
    </font>
    <font>
      <b/>
      <sz val="12"/>
      <name val="Arial Narrow"/>
      <family val="2"/>
    </font>
    <font>
      <sz val="10"/>
      <color indexed="55"/>
      <name val="Arial Narrow"/>
      <family val="2"/>
    </font>
    <font>
      <vertAlign val="subscript"/>
      <sz val="10"/>
      <color indexed="55"/>
      <name val="Arial Narrow"/>
      <family val="2"/>
    </font>
    <font>
      <vertAlign val="superscript"/>
      <sz val="12"/>
      <name val="Arial Narrow"/>
      <family val="2"/>
    </font>
    <font>
      <vertAlign val="subscript"/>
      <sz val="10"/>
      <color indexed="8"/>
      <name val="Arial Narrow"/>
      <family val="2"/>
    </font>
    <font>
      <vertAlign val="superscript"/>
      <sz val="10"/>
      <color indexed="8"/>
      <name val="Arial Narrow"/>
      <family val="2"/>
    </font>
    <font>
      <sz val="8"/>
      <name val="Calibri"/>
      <family val="2"/>
    </font>
    <font>
      <sz val="10"/>
      <color indexed="31"/>
      <name val="Arial Narrow"/>
      <family val="2"/>
    </font>
    <font>
      <vertAlign val="subscript"/>
      <sz val="10"/>
      <color indexed="31"/>
      <name val="Arial Narrow"/>
      <family val="2"/>
    </font>
    <font>
      <sz val="10"/>
      <color theme="1"/>
      <name val="Arial Narrow"/>
      <family val="2"/>
    </font>
    <font>
      <sz val="10"/>
      <color theme="0" tint="-0.34998626667073579"/>
      <name val="Arial Narrow"/>
      <family val="2"/>
    </font>
    <font>
      <sz val="12"/>
      <color theme="0" tint="-0.34998626667073579"/>
      <name val="Calibri"/>
      <family val="2"/>
      <scheme val="minor"/>
    </font>
    <font>
      <sz val="12"/>
      <color theme="1"/>
      <name val="Arial Narrow"/>
      <family val="2"/>
    </font>
    <font>
      <sz val="10"/>
      <color theme="4"/>
      <name val="Arial Narrow"/>
      <family val="2"/>
    </font>
    <font>
      <b/>
      <sz val="10"/>
      <color theme="1"/>
      <name val="Arial Narrow"/>
      <family val="2"/>
    </font>
    <font>
      <sz val="10"/>
      <color theme="1"/>
      <name val="Arial Narrow Bold"/>
    </font>
    <font>
      <b/>
      <sz val="10"/>
      <color theme="3"/>
      <name val="Arial Narrow"/>
      <family val="2"/>
    </font>
    <font>
      <sz val="10"/>
      <color theme="3"/>
      <name val="Arial Narrow"/>
      <family val="2"/>
    </font>
    <font>
      <sz val="10"/>
      <color theme="3" tint="0.79998168889431442"/>
      <name val="Arial Narrow"/>
      <family val="2"/>
    </font>
    <font>
      <sz val="10"/>
      <color theme="0" tint="-0.499984740745262"/>
      <name val="Arial Narrow"/>
      <family val="2"/>
    </font>
    <font>
      <sz val="10"/>
      <color rgb="FF000000"/>
      <name val="Arial Narrow"/>
      <family val="2"/>
    </font>
    <font>
      <vertAlign val="superscript"/>
      <sz val="10"/>
      <color theme="4"/>
      <name val="Arial Narrow"/>
      <family val="2"/>
    </font>
    <font>
      <vertAlign val="subscript"/>
      <sz val="10"/>
      <color theme="4"/>
      <name val="Arial Narrow"/>
      <family val="2"/>
    </font>
    <font>
      <vertAlign val="subscript"/>
      <sz val="10"/>
      <color rgb="FF000000"/>
      <name val="Arial Narrow"/>
      <family val="2"/>
    </font>
    <font>
      <sz val="8"/>
      <name val="Calibri"/>
      <family val="2"/>
      <scheme val="minor"/>
    </font>
    <font>
      <sz val="10"/>
      <color rgb="FF4F81BD"/>
      <name val="Arial Narrow"/>
      <family val="2"/>
    </font>
    <font>
      <sz val="10"/>
      <color rgb="FFA6A6A6"/>
      <name val="Arial Narrow"/>
      <family val="2"/>
    </font>
    <font>
      <i/>
      <sz val="10"/>
      <color theme="1"/>
      <name val="Arial Narrow Bold"/>
    </font>
    <font>
      <b/>
      <i/>
      <sz val="10"/>
      <color theme="1"/>
      <name val="Arial Narrow Bold"/>
    </font>
    <font>
      <vertAlign val="superscript"/>
      <sz val="10"/>
      <color theme="1"/>
      <name val="Arial Narrow"/>
      <family val="2"/>
    </font>
    <font>
      <vertAlign val="subscript"/>
      <sz val="10"/>
      <color theme="1"/>
      <name val="Arial Narrow"/>
      <family val="2"/>
    </font>
    <font>
      <sz val="10"/>
      <color theme="7"/>
      <name val="Arial Narrow"/>
      <family val="2"/>
    </font>
    <font>
      <vertAlign val="subscript"/>
      <sz val="10"/>
      <color theme="7"/>
      <name val="Arial Narrow"/>
      <family val="2"/>
    </font>
    <font>
      <b/>
      <sz val="10"/>
      <color indexed="8"/>
      <name val="Arial Narrow"/>
      <family val="2"/>
    </font>
    <font>
      <vertAlign val="superscript"/>
      <sz val="10"/>
      <color theme="3"/>
      <name val="Arial Narrow"/>
      <family val="2"/>
    </font>
    <font>
      <vertAlign val="subscript"/>
      <sz val="10"/>
      <color theme="3"/>
      <name val="Arial Narrow"/>
      <family val="2"/>
    </font>
    <font>
      <sz val="10"/>
      <name val="Arial"/>
      <family val="2"/>
    </font>
    <font>
      <sz val="10"/>
      <color theme="0" tint="-0.14999847407452621"/>
      <name val="Arial Narrow"/>
      <family val="2"/>
    </font>
    <font>
      <vertAlign val="superscript"/>
      <sz val="10"/>
      <color theme="0" tint="-0.14999847407452621"/>
      <name val="Arial Narrow"/>
      <family val="2"/>
    </font>
    <font>
      <sz val="10"/>
      <color rgb="FF000000"/>
      <name val="Arial"/>
      <family val="2"/>
    </font>
    <font>
      <vertAlign val="subscript"/>
      <sz val="10"/>
      <name val="Arial"/>
      <family val="2"/>
    </font>
    <font>
      <sz val="10"/>
      <color theme="1"/>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E4DFEC"/>
        <bgColor rgb="FF000000"/>
      </patternFill>
    </fill>
  </fills>
  <borders count="1">
    <border>
      <left/>
      <right/>
      <top/>
      <bottom/>
      <diagonal/>
    </border>
  </borders>
  <cellStyleXfs count="1">
    <xf numFmtId="0" fontId="0" fillId="0" borderId="0"/>
  </cellStyleXfs>
  <cellXfs count="148">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2" fontId="2" fillId="0" borderId="0" xfId="0" applyNumberFormat="1" applyFont="1" applyAlignment="1">
      <alignment horizontal="center" vertical="center"/>
    </xf>
    <xf numFmtId="2" fontId="8" fillId="0" borderId="0" xfId="0" applyNumberFormat="1" applyFont="1" applyAlignment="1">
      <alignment horizontal="center"/>
    </xf>
    <xf numFmtId="164" fontId="2" fillId="0" borderId="0" xfId="0" applyNumberFormat="1" applyFont="1" applyAlignment="1">
      <alignment horizontal="center"/>
    </xf>
    <xf numFmtId="164" fontId="5" fillId="0" borderId="0" xfId="0" applyNumberFormat="1" applyFont="1" applyAlignment="1">
      <alignment horizontal="center"/>
    </xf>
    <xf numFmtId="164" fontId="6" fillId="0" borderId="0" xfId="0" applyNumberFormat="1" applyFont="1" applyAlignment="1">
      <alignment horizontal="center"/>
    </xf>
    <xf numFmtId="0" fontId="2" fillId="0" borderId="0" xfId="0" applyFont="1" applyAlignment="1">
      <alignment vertical="center"/>
    </xf>
    <xf numFmtId="2" fontId="2" fillId="0" borderId="0" xfId="0" applyNumberFormat="1" applyFont="1" applyAlignment="1">
      <alignment vertical="center"/>
    </xf>
    <xf numFmtId="0" fontId="18" fillId="0" borderId="0" xfId="0" applyFont="1"/>
    <xf numFmtId="0" fontId="18" fillId="0" borderId="0" xfId="0" applyFont="1" applyAlignment="1">
      <alignment horizontal="left"/>
    </xf>
    <xf numFmtId="0" fontId="18" fillId="0" borderId="0" xfId="0" applyFont="1" applyAlignment="1">
      <alignment horizontal="center"/>
    </xf>
    <xf numFmtId="0" fontId="18" fillId="0" borderId="0" xfId="0" applyFont="1" applyAlignment="1" applyProtection="1">
      <alignment horizontal="center"/>
      <protection hidden="1"/>
    </xf>
    <xf numFmtId="2" fontId="18" fillId="0" borderId="0" xfId="0" applyNumberFormat="1" applyFont="1" applyAlignment="1">
      <alignment horizontal="center"/>
    </xf>
    <xf numFmtId="2" fontId="18" fillId="0" borderId="0" xfId="0" applyNumberFormat="1" applyFont="1" applyAlignment="1" applyProtection="1">
      <alignment horizontal="center"/>
      <protection hidden="1"/>
    </xf>
    <xf numFmtId="0" fontId="19" fillId="0" borderId="0" xfId="0" applyFont="1" applyAlignment="1">
      <alignment horizontal="center" vertical="center"/>
    </xf>
    <xf numFmtId="0" fontId="20" fillId="0" borderId="0" xfId="0" applyFont="1"/>
    <xf numFmtId="2" fontId="19" fillId="0" borderId="0" xfId="0" applyNumberFormat="1" applyFont="1" applyAlignment="1">
      <alignment horizontal="center" vertical="center"/>
    </xf>
    <xf numFmtId="2" fontId="19" fillId="0" borderId="0" xfId="0" applyNumberFormat="1" applyFont="1" applyAlignment="1">
      <alignment horizontal="center"/>
    </xf>
    <xf numFmtId="0" fontId="19" fillId="0" borderId="0" xfId="0" applyFont="1" applyAlignment="1">
      <alignment horizontal="center"/>
    </xf>
    <xf numFmtId="0" fontId="19" fillId="0" borderId="0" xfId="0" applyFont="1" applyAlignment="1" applyProtection="1">
      <alignment horizontal="center" vertical="center"/>
      <protection hidden="1"/>
    </xf>
    <xf numFmtId="0" fontId="18" fillId="0" borderId="0" xfId="0" applyFont="1" applyAlignment="1" applyProtection="1">
      <alignment horizontal="center" vertical="center"/>
      <protection hidden="1"/>
    </xf>
    <xf numFmtId="165" fontId="2" fillId="0" borderId="0" xfId="0" applyNumberFormat="1" applyFont="1" applyAlignment="1">
      <alignment horizontal="center" vertical="center"/>
    </xf>
    <xf numFmtId="0" fontId="19" fillId="0" borderId="0" xfId="0" applyFont="1" applyAlignment="1" applyProtection="1">
      <alignment horizontal="left" vertical="center"/>
      <protection hidden="1"/>
    </xf>
    <xf numFmtId="0" fontId="0" fillId="0" borderId="0" xfId="0" applyAlignment="1">
      <alignment horizontal="left" vertical="center"/>
    </xf>
    <xf numFmtId="0" fontId="21" fillId="0" borderId="0" xfId="0" applyFont="1" applyAlignment="1" applyProtection="1">
      <alignment horizontal="left" vertical="center"/>
      <protection hidden="1"/>
    </xf>
    <xf numFmtId="0" fontId="0" fillId="0" borderId="0" xfId="0" applyAlignment="1">
      <alignment horizontal="center"/>
    </xf>
    <xf numFmtId="164" fontId="18" fillId="0" borderId="0" xfId="0" applyNumberFormat="1" applyFont="1" applyAlignment="1">
      <alignment horizontal="center"/>
    </xf>
    <xf numFmtId="166" fontId="8" fillId="0" borderId="0" xfId="0" applyNumberFormat="1" applyFont="1" applyAlignment="1">
      <alignment horizontal="center"/>
    </xf>
    <xf numFmtId="164" fontId="1" fillId="0" borderId="0" xfId="0" applyNumberFormat="1" applyFont="1" applyAlignment="1">
      <alignment horizontal="center" vertical="center" wrapText="1"/>
    </xf>
    <xf numFmtId="2" fontId="18" fillId="0" borderId="0" xfId="0" applyNumberFormat="1" applyFont="1"/>
    <xf numFmtId="0" fontId="18" fillId="2" borderId="0" xfId="0" applyFont="1" applyFill="1" applyAlignment="1">
      <alignment horizontal="center"/>
    </xf>
    <xf numFmtId="0" fontId="18" fillId="0" borderId="0" xfId="0" applyFont="1" applyAlignment="1">
      <alignment horizontal="center" vertical="center"/>
    </xf>
    <xf numFmtId="0" fontId="22" fillId="0" borderId="0" xfId="0" applyFont="1" applyAlignment="1">
      <alignment horizontal="center" vertical="center"/>
    </xf>
    <xf numFmtId="2" fontId="22" fillId="0" borderId="0" xfId="0" applyNumberFormat="1" applyFont="1" applyAlignment="1">
      <alignment horizontal="center"/>
    </xf>
    <xf numFmtId="0" fontId="22" fillId="0" borderId="0" xfId="0" applyFont="1" applyAlignment="1">
      <alignment horizontal="center"/>
    </xf>
    <xf numFmtId="0" fontId="23" fillId="2" borderId="0" xfId="0" applyFont="1" applyFill="1" applyAlignment="1">
      <alignment horizontal="center"/>
    </xf>
    <xf numFmtId="0" fontId="24" fillId="2" borderId="0" xfId="0" applyFont="1" applyFill="1" applyAlignment="1">
      <alignment horizontal="left" vertical="center"/>
    </xf>
    <xf numFmtId="2" fontId="24" fillId="2" borderId="0" xfId="0" applyNumberFormat="1" applyFont="1" applyFill="1" applyAlignment="1">
      <alignment horizontal="left"/>
    </xf>
    <xf numFmtId="0" fontId="24" fillId="2" borderId="0" xfId="0" applyFont="1" applyFill="1" applyAlignment="1">
      <alignment horizontal="left"/>
    </xf>
    <xf numFmtId="0" fontId="25" fillId="0" borderId="0" xfId="0" applyFont="1" applyAlignment="1">
      <alignment horizontal="center"/>
    </xf>
    <xf numFmtId="0" fontId="26" fillId="0" borderId="0" xfId="0" applyFont="1" applyAlignment="1">
      <alignment horizontal="center"/>
    </xf>
    <xf numFmtId="0" fontId="26" fillId="0" borderId="0" xfId="0" applyFont="1" applyAlignment="1">
      <alignment horizontal="center" vertical="center"/>
    </xf>
    <xf numFmtId="164" fontId="26" fillId="0" borderId="0" xfId="0" applyNumberFormat="1" applyFont="1" applyAlignment="1">
      <alignment horizontal="center"/>
    </xf>
    <xf numFmtId="164" fontId="25" fillId="0" borderId="0" xfId="0" applyNumberFormat="1" applyFont="1" applyAlignment="1">
      <alignment horizontal="center"/>
    </xf>
    <xf numFmtId="0" fontId="26" fillId="0" borderId="0" xfId="0" applyFont="1"/>
    <xf numFmtId="0" fontId="18" fillId="3" borderId="0" xfId="0" applyFont="1" applyFill="1" applyAlignment="1">
      <alignment horizontal="center" vertical="center"/>
    </xf>
    <xf numFmtId="2" fontId="2" fillId="3" borderId="0" xfId="0" applyNumberFormat="1" applyFont="1" applyFill="1" applyAlignment="1">
      <alignment horizontal="center" vertical="center"/>
    </xf>
    <xf numFmtId="0" fontId="0" fillId="3" borderId="0" xfId="0" applyFill="1"/>
    <xf numFmtId="164" fontId="2" fillId="0" borderId="0" xfId="0" applyNumberFormat="1" applyFont="1" applyAlignment="1">
      <alignment horizontal="center" vertical="center"/>
    </xf>
    <xf numFmtId="0" fontId="18" fillId="0" borderId="0" xfId="0" applyFont="1" applyAlignment="1">
      <alignment horizontal="left" vertical="center"/>
    </xf>
    <xf numFmtId="0" fontId="27" fillId="0" borderId="0" xfId="0" applyFont="1" applyAlignment="1" applyProtection="1">
      <alignment horizontal="center" vertical="center"/>
      <protection hidden="1"/>
    </xf>
    <xf numFmtId="0" fontId="28" fillId="0" borderId="0" xfId="0" applyFont="1" applyAlignment="1" applyProtection="1">
      <alignment horizontal="center" vertical="center"/>
      <protection hidden="1"/>
    </xf>
    <xf numFmtId="2" fontId="18" fillId="0" borderId="0" xfId="0" applyNumberFormat="1" applyFont="1" applyAlignment="1">
      <alignment horizontal="center" vertical="center"/>
    </xf>
    <xf numFmtId="0" fontId="29" fillId="0" borderId="0" xfId="0" applyFont="1" applyAlignment="1" applyProtection="1">
      <alignment horizontal="center" vertical="center"/>
      <protection hidden="1"/>
    </xf>
    <xf numFmtId="2" fontId="0" fillId="0" borderId="0" xfId="0" applyNumberFormat="1" applyAlignment="1">
      <alignment vertical="center" wrapText="1"/>
    </xf>
    <xf numFmtId="2" fontId="29" fillId="0" borderId="0" xfId="0" applyNumberFormat="1" applyFont="1" applyAlignment="1" applyProtection="1">
      <alignment horizontal="center" vertical="center"/>
      <protection hidden="1"/>
    </xf>
    <xf numFmtId="0" fontId="23" fillId="2" borderId="0" xfId="0" applyFont="1" applyFill="1" applyAlignment="1">
      <alignment horizontal="center" vertical="center"/>
    </xf>
    <xf numFmtId="0" fontId="25" fillId="0" borderId="0" xfId="0" applyFont="1" applyAlignment="1">
      <alignment horizontal="center" vertical="center"/>
    </xf>
    <xf numFmtId="0" fontId="5" fillId="0" borderId="0" xfId="0" applyFont="1" applyAlignment="1">
      <alignment horizontal="center" vertical="center"/>
    </xf>
    <xf numFmtId="0" fontId="18" fillId="0" borderId="0" xfId="0" applyFont="1" applyAlignment="1">
      <alignment vertical="center"/>
    </xf>
    <xf numFmtId="2" fontId="24" fillId="2" borderId="0" xfId="0" applyNumberFormat="1" applyFont="1" applyFill="1" applyAlignment="1">
      <alignment horizontal="left" vertical="center"/>
    </xf>
    <xf numFmtId="2" fontId="27" fillId="0" borderId="0" xfId="0" applyNumberFormat="1" applyFont="1" applyAlignment="1" applyProtection="1">
      <alignment horizontal="center" vertical="center"/>
      <protection hidden="1"/>
    </xf>
    <xf numFmtId="0" fontId="0" fillId="0" borderId="0" xfId="0" applyAlignment="1">
      <alignment vertical="center"/>
    </xf>
    <xf numFmtId="164" fontId="22" fillId="0" borderId="0" xfId="0" applyNumberFormat="1" applyFont="1" applyAlignment="1">
      <alignment horizontal="center" vertical="center"/>
    </xf>
    <xf numFmtId="0" fontId="20" fillId="0" borderId="0" xfId="0" applyFont="1" applyAlignment="1">
      <alignment vertical="center"/>
    </xf>
    <xf numFmtId="2" fontId="22" fillId="0" borderId="0" xfId="0" applyNumberFormat="1" applyFont="1" applyAlignment="1">
      <alignment horizontal="center" vertical="center"/>
    </xf>
    <xf numFmtId="0" fontId="18" fillId="2" borderId="0" xfId="0" applyFont="1" applyFill="1" applyAlignment="1">
      <alignment horizontal="center" vertical="center"/>
    </xf>
    <xf numFmtId="0" fontId="26" fillId="0" borderId="0" xfId="0" applyFont="1" applyAlignment="1">
      <alignment vertical="center"/>
    </xf>
    <xf numFmtId="165" fontId="2" fillId="0" borderId="0" xfId="0" applyNumberFormat="1" applyFont="1" applyAlignment="1">
      <alignment horizontal="center"/>
    </xf>
    <xf numFmtId="165" fontId="2" fillId="0" borderId="0" xfId="0" applyNumberFormat="1" applyFont="1" applyAlignment="1">
      <alignment horizontal="center" wrapText="1"/>
    </xf>
    <xf numFmtId="165" fontId="18" fillId="0" borderId="0" xfId="0" applyNumberFormat="1" applyFont="1" applyAlignment="1">
      <alignment horizontal="center"/>
    </xf>
    <xf numFmtId="0" fontId="29" fillId="0" borderId="0" xfId="0" applyFont="1" applyAlignment="1">
      <alignment horizontal="center" vertical="center"/>
    </xf>
    <xf numFmtId="0" fontId="5" fillId="0" borderId="0" xfId="0" applyFont="1" applyAlignment="1">
      <alignment horizontal="left" vertical="center"/>
    </xf>
    <xf numFmtId="165" fontId="18" fillId="0" borderId="0" xfId="0" applyNumberFormat="1" applyFont="1" applyAlignment="1" applyProtection="1">
      <alignment horizontal="center" vertical="center"/>
      <protection hidden="1"/>
    </xf>
    <xf numFmtId="0" fontId="19" fillId="0" borderId="0" xfId="0" applyFont="1"/>
    <xf numFmtId="164" fontId="19" fillId="0" borderId="0" xfId="0" applyNumberFormat="1" applyFont="1" applyAlignment="1">
      <alignment horizontal="center"/>
    </xf>
    <xf numFmtId="2" fontId="7" fillId="2" borderId="0" xfId="0" applyNumberFormat="1" applyFont="1" applyFill="1" applyAlignment="1">
      <alignment horizontal="center"/>
    </xf>
    <xf numFmtId="166" fontId="7" fillId="0" borderId="0" xfId="0" applyNumberFormat="1" applyFont="1" applyAlignment="1">
      <alignment horizontal="center"/>
    </xf>
    <xf numFmtId="2" fontId="35" fillId="0" borderId="0" xfId="0" applyNumberFormat="1" applyFont="1" applyAlignment="1">
      <alignment horizontal="center" vertical="center"/>
    </xf>
    <xf numFmtId="2" fontId="36" fillId="2" borderId="0" xfId="0" applyNumberFormat="1" applyFont="1" applyFill="1" applyAlignment="1">
      <alignment horizontal="left"/>
    </xf>
    <xf numFmtId="2" fontId="37" fillId="2" borderId="0" xfId="0" applyNumberFormat="1" applyFont="1" applyFill="1" applyAlignment="1">
      <alignment horizontal="left"/>
    </xf>
    <xf numFmtId="2" fontId="7" fillId="0" borderId="0" xfId="0" applyNumberFormat="1" applyFont="1" applyAlignment="1">
      <alignment horizontal="center"/>
    </xf>
    <xf numFmtId="1" fontId="7" fillId="2" borderId="0" xfId="0" applyNumberFormat="1" applyFont="1" applyFill="1" applyAlignment="1">
      <alignment horizontal="center"/>
    </xf>
    <xf numFmtId="2" fontId="2" fillId="5" borderId="0" xfId="0" applyNumberFormat="1" applyFont="1" applyFill="1" applyAlignment="1">
      <alignment horizontal="center" vertical="center"/>
    </xf>
    <xf numFmtId="0" fontId="29" fillId="0" borderId="0" xfId="0" applyFont="1" applyAlignment="1" applyProtection="1">
      <alignment horizontal="left" vertical="center"/>
      <protection hidden="1"/>
    </xf>
    <xf numFmtId="0" fontId="0" fillId="0" borderId="0" xfId="0" applyAlignment="1">
      <alignment horizontal="left"/>
    </xf>
    <xf numFmtId="165" fontId="18" fillId="0" borderId="0" xfId="0" applyNumberFormat="1" applyFont="1" applyAlignment="1">
      <alignment vertical="center"/>
    </xf>
    <xf numFmtId="2" fontId="18" fillId="0" borderId="0" xfId="0" applyNumberFormat="1" applyFont="1" applyAlignment="1">
      <alignment vertical="center"/>
    </xf>
    <xf numFmtId="2" fontId="7" fillId="2" borderId="0" xfId="0" applyNumberFormat="1" applyFont="1" applyFill="1" applyAlignment="1">
      <alignment horizontal="center" vertical="center"/>
    </xf>
    <xf numFmtId="2" fontId="29" fillId="0" borderId="0" xfId="0" applyNumberFormat="1" applyFont="1" applyAlignment="1">
      <alignment horizontal="center" vertical="center"/>
    </xf>
    <xf numFmtId="0" fontId="40" fillId="0" borderId="0" xfId="0" applyFont="1" applyAlignment="1">
      <alignment horizontal="center" vertical="center"/>
    </xf>
    <xf numFmtId="2" fontId="28" fillId="0" borderId="0" xfId="0" applyNumberFormat="1" applyFont="1" applyAlignment="1" applyProtection="1">
      <alignment horizontal="center" vertical="center"/>
      <protection hidden="1"/>
    </xf>
    <xf numFmtId="0" fontId="1" fillId="0" borderId="0" xfId="0" applyFont="1" applyAlignment="1">
      <alignment horizontal="left" vertical="center" wrapText="1"/>
    </xf>
    <xf numFmtId="0" fontId="0" fillId="3" borderId="0" xfId="0" applyFill="1" applyAlignment="1">
      <alignment horizontal="center"/>
    </xf>
    <xf numFmtId="0" fontId="6" fillId="0" borderId="0" xfId="0" applyFont="1" applyAlignment="1">
      <alignment horizontal="center" vertical="center"/>
    </xf>
    <xf numFmtId="2" fontId="18" fillId="0" borderId="0" xfId="0" applyNumberFormat="1" applyFont="1" applyAlignment="1" applyProtection="1">
      <alignment horizontal="center" vertical="center"/>
      <protection hidden="1"/>
    </xf>
    <xf numFmtId="2" fontId="37" fillId="2" borderId="0" xfId="0" applyNumberFormat="1" applyFont="1" applyFill="1" applyAlignment="1">
      <alignment horizontal="left" vertical="center"/>
    </xf>
    <xf numFmtId="2" fontId="36" fillId="2" borderId="0" xfId="0" applyNumberFormat="1" applyFont="1" applyFill="1" applyAlignment="1">
      <alignment horizontal="left" vertical="center"/>
    </xf>
    <xf numFmtId="49" fontId="7" fillId="2" borderId="0" xfId="0" applyNumberFormat="1" applyFont="1" applyFill="1" applyAlignment="1">
      <alignment horizontal="center"/>
    </xf>
    <xf numFmtId="166" fontId="5" fillId="0" borderId="0" xfId="0" applyNumberFormat="1" applyFont="1" applyAlignment="1">
      <alignment horizontal="center"/>
    </xf>
    <xf numFmtId="0" fontId="29" fillId="0" borderId="0" xfId="0" applyFont="1" applyAlignment="1">
      <alignment horizontal="left"/>
    </xf>
    <xf numFmtId="0" fontId="29" fillId="0" borderId="0" xfId="0" applyFont="1"/>
    <xf numFmtId="2" fontId="23" fillId="0" borderId="0" xfId="0" applyNumberFormat="1" applyFont="1" applyAlignment="1">
      <alignment horizontal="center" vertical="center"/>
    </xf>
    <xf numFmtId="0" fontId="23" fillId="0" borderId="0" xfId="0" applyFont="1" applyAlignment="1" applyProtection="1">
      <alignment horizontal="center" vertical="center"/>
      <protection hidden="1"/>
    </xf>
    <xf numFmtId="0" fontId="23" fillId="0" borderId="0" xfId="0" applyFont="1" applyAlignment="1" applyProtection="1">
      <alignment horizontal="center"/>
      <protection hidden="1"/>
    </xf>
    <xf numFmtId="0" fontId="46" fillId="0" borderId="0" xfId="0" applyFont="1" applyAlignment="1" applyProtection="1">
      <alignment horizontal="center" vertical="center"/>
      <protection hidden="1"/>
    </xf>
    <xf numFmtId="2" fontId="46" fillId="0" borderId="0" xfId="0" applyNumberFormat="1" applyFont="1" applyAlignment="1" applyProtection="1">
      <alignment horizontal="center" vertical="center"/>
      <protection hidden="1"/>
    </xf>
    <xf numFmtId="0" fontId="46" fillId="0" borderId="0" xfId="0" applyFont="1" applyAlignment="1">
      <alignment horizontal="center" vertical="center"/>
    </xf>
    <xf numFmtId="0" fontId="48" fillId="0" borderId="0" xfId="0" applyFont="1" applyAlignment="1">
      <alignment horizontal="center"/>
    </xf>
    <xf numFmtId="0" fontId="48" fillId="0" borderId="0" xfId="0" applyFont="1"/>
    <xf numFmtId="0" fontId="50" fillId="0" borderId="0" xfId="0" applyFont="1"/>
    <xf numFmtId="0" fontId="50" fillId="0" borderId="0" xfId="0" applyFont="1" applyAlignment="1">
      <alignment horizontal="center"/>
    </xf>
    <xf numFmtId="1" fontId="2" fillId="0" borderId="0" xfId="0" applyNumberFormat="1" applyFont="1" applyAlignment="1">
      <alignment horizontal="center" vertical="center"/>
    </xf>
    <xf numFmtId="164" fontId="5" fillId="0" borderId="0" xfId="0" applyNumberFormat="1" applyFont="1" applyAlignment="1">
      <alignment horizontal="center" vertical="center"/>
    </xf>
    <xf numFmtId="164" fontId="5" fillId="0" borderId="0" xfId="0" applyNumberFormat="1" applyFont="1" applyAlignment="1">
      <alignment horizontal="left" vertical="center"/>
    </xf>
    <xf numFmtId="1" fontId="7" fillId="2" borderId="0" xfId="0" applyNumberFormat="1" applyFont="1" applyFill="1" applyAlignment="1">
      <alignment horizontal="center" vertical="center"/>
    </xf>
    <xf numFmtId="2" fontId="7" fillId="0" borderId="0" xfId="0" applyNumberFormat="1" applyFont="1" applyAlignment="1">
      <alignment horizontal="center" vertical="center"/>
    </xf>
    <xf numFmtId="2" fontId="46" fillId="0" borderId="0" xfId="0" applyNumberFormat="1" applyFont="1" applyAlignment="1">
      <alignment horizontal="center" vertical="center"/>
    </xf>
    <xf numFmtId="166" fontId="7" fillId="0" borderId="0" xfId="0" applyNumberFormat="1" applyFont="1" applyAlignment="1">
      <alignment horizontal="center" vertical="center"/>
    </xf>
    <xf numFmtId="164" fontId="25" fillId="0" borderId="0" xfId="0" applyNumberFormat="1" applyFont="1" applyAlignment="1">
      <alignment horizontal="center" vertical="center"/>
    </xf>
    <xf numFmtId="1" fontId="42" fillId="2" borderId="0" xfId="0" applyNumberFormat="1" applyFont="1" applyFill="1" applyAlignment="1">
      <alignment horizontal="center" vertical="center"/>
    </xf>
    <xf numFmtId="164" fontId="19" fillId="0" borderId="0" xfId="0" applyNumberFormat="1" applyFont="1" applyAlignment="1">
      <alignment horizontal="center" vertical="center"/>
    </xf>
    <xf numFmtId="165" fontId="18" fillId="0" borderId="0" xfId="0" applyNumberFormat="1" applyFont="1" applyAlignment="1">
      <alignment horizontal="center" vertical="center"/>
    </xf>
    <xf numFmtId="164" fontId="6" fillId="0" borderId="0" xfId="0" applyNumberFormat="1" applyFont="1" applyAlignment="1">
      <alignment horizontal="center" vertical="center"/>
    </xf>
    <xf numFmtId="167" fontId="18" fillId="0" borderId="0" xfId="0" applyNumberFormat="1" applyFont="1" applyAlignment="1">
      <alignment horizontal="center" vertical="center"/>
    </xf>
    <xf numFmtId="164" fontId="26" fillId="0" borderId="0" xfId="0" applyNumberFormat="1" applyFont="1" applyAlignment="1">
      <alignment horizontal="center" vertical="center"/>
    </xf>
    <xf numFmtId="164" fontId="18" fillId="0" borderId="0" xfId="0" applyNumberFormat="1" applyFont="1" applyAlignment="1">
      <alignment horizontal="center" vertical="center"/>
    </xf>
    <xf numFmtId="2" fontId="34" fillId="0" borderId="0" xfId="0" applyNumberFormat="1" applyFont="1" applyAlignment="1">
      <alignment horizontal="center" vertical="center"/>
    </xf>
    <xf numFmtId="0" fontId="0" fillId="3" borderId="0" xfId="0" applyFill="1" applyAlignment="1">
      <alignment vertical="center"/>
    </xf>
    <xf numFmtId="0" fontId="46" fillId="0" borderId="0" xfId="0" applyFont="1" applyAlignment="1">
      <alignment vertical="center"/>
    </xf>
    <xf numFmtId="0" fontId="19" fillId="0" borderId="0" xfId="0" applyFont="1" applyAlignment="1">
      <alignment vertical="center"/>
    </xf>
    <xf numFmtId="164" fontId="0" fillId="0" borderId="0" xfId="0" applyNumberFormat="1" applyAlignment="1">
      <alignment vertical="center"/>
    </xf>
    <xf numFmtId="164" fontId="7" fillId="0" borderId="0" xfId="0" applyNumberFormat="1" applyFont="1" applyAlignment="1">
      <alignment horizontal="center" vertical="center"/>
    </xf>
    <xf numFmtId="164" fontId="0" fillId="0" borderId="0" xfId="0" applyNumberFormat="1"/>
    <xf numFmtId="167" fontId="2" fillId="0" borderId="0" xfId="0" applyNumberFormat="1" applyFont="1" applyAlignment="1">
      <alignment horizontal="center"/>
    </xf>
    <xf numFmtId="2" fontId="0" fillId="0" borderId="0" xfId="0" applyNumberFormat="1" applyAlignment="1">
      <alignment vertical="center"/>
    </xf>
    <xf numFmtId="2" fontId="42" fillId="2" borderId="0" xfId="0" applyNumberFormat="1" applyFont="1" applyFill="1" applyAlignment="1">
      <alignment horizontal="center" vertical="center"/>
    </xf>
    <xf numFmtId="2" fontId="5" fillId="0" borderId="0" xfId="0" applyNumberFormat="1" applyFont="1" applyAlignment="1">
      <alignment horizontal="center" vertical="center"/>
    </xf>
    <xf numFmtId="0" fontId="1" fillId="0" borderId="0" xfId="0" applyFont="1" applyAlignment="1">
      <alignment horizontal="left" vertical="center" wrapText="1"/>
    </xf>
    <xf numFmtId="0" fontId="1" fillId="4" borderId="0" xfId="0" applyFont="1" applyFill="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70"/>
  <sheetViews>
    <sheetView tabSelected="1" topLeftCell="A43" workbookViewId="0">
      <selection activeCell="A66" sqref="A66:J66"/>
    </sheetView>
  </sheetViews>
  <sheetFormatPr baseColWidth="10" defaultRowHeight="16"/>
  <cols>
    <col min="1" max="1" width="10.6640625" customWidth="1"/>
    <col min="2" max="2" width="15.1640625" customWidth="1"/>
    <col min="10" max="10" width="15.33203125" customWidth="1"/>
    <col min="11" max="11" width="0.1640625" customWidth="1"/>
    <col min="12" max="12" width="12.5" customWidth="1"/>
  </cols>
  <sheetData>
    <row r="2" spans="1:12" ht="78" customHeight="1">
      <c r="A2" s="147" t="s">
        <v>52</v>
      </c>
      <c r="B2" s="147"/>
      <c r="C2" s="147"/>
      <c r="D2" s="147"/>
      <c r="E2" s="147"/>
      <c r="F2" s="147"/>
      <c r="G2" s="147"/>
      <c r="H2" s="147"/>
      <c r="I2" s="147"/>
      <c r="J2" s="147"/>
      <c r="K2" s="147"/>
      <c r="L2" s="147"/>
    </row>
    <row r="3" spans="1:12" ht="36" customHeight="1">
      <c r="A3" s="147" t="s">
        <v>172</v>
      </c>
      <c r="B3" s="147"/>
      <c r="C3" s="147"/>
      <c r="D3" s="147"/>
      <c r="E3" s="147"/>
      <c r="F3" s="147"/>
      <c r="G3" s="147"/>
      <c r="H3" s="147"/>
      <c r="I3" s="147"/>
      <c r="J3" s="147"/>
      <c r="K3" s="147"/>
      <c r="L3" s="147"/>
    </row>
    <row r="4" spans="1:12" ht="16" customHeight="1">
      <c r="A4" s="3" t="s">
        <v>317</v>
      </c>
      <c r="B4" s="3"/>
      <c r="C4" s="1"/>
      <c r="D4" s="1"/>
      <c r="E4" s="1"/>
      <c r="F4" s="1"/>
      <c r="G4" s="1"/>
      <c r="H4" s="1"/>
      <c r="I4" s="1"/>
      <c r="J4" s="1"/>
      <c r="K4" s="1"/>
      <c r="L4" s="1"/>
    </row>
    <row r="6" spans="1:12" ht="16" customHeight="1">
      <c r="A6" s="3" t="s">
        <v>32</v>
      </c>
      <c r="B6" s="3"/>
      <c r="H6" s="2" t="s">
        <v>276</v>
      </c>
    </row>
    <row r="7" spans="1:12" ht="16" customHeight="1">
      <c r="A7" s="1"/>
      <c r="B7" s="1"/>
      <c r="C7" s="2" t="s">
        <v>14</v>
      </c>
      <c r="D7" s="2" t="s">
        <v>97</v>
      </c>
      <c r="E7" s="2" t="s">
        <v>15</v>
      </c>
      <c r="F7" s="2" t="s">
        <v>29</v>
      </c>
      <c r="G7" s="2" t="s">
        <v>90</v>
      </c>
      <c r="H7" s="2" t="s">
        <v>113</v>
      </c>
      <c r="I7" s="2" t="s">
        <v>115</v>
      </c>
    </row>
    <row r="8" spans="1:12" ht="16" customHeight="1">
      <c r="A8" s="1" t="s">
        <v>26</v>
      </c>
      <c r="B8" s="1" t="s">
        <v>55</v>
      </c>
      <c r="C8" s="2">
        <v>4</v>
      </c>
      <c r="D8" s="2">
        <v>3</v>
      </c>
      <c r="E8" s="2">
        <v>0</v>
      </c>
      <c r="F8" s="2">
        <v>0</v>
      </c>
      <c r="G8" s="2"/>
    </row>
    <row r="9" spans="1:12" ht="16" customHeight="1">
      <c r="A9" s="1" t="s">
        <v>28</v>
      </c>
      <c r="B9" s="1" t="s">
        <v>56</v>
      </c>
      <c r="C9" s="2">
        <v>6</v>
      </c>
      <c r="D9" s="2">
        <v>4</v>
      </c>
      <c r="E9" s="2">
        <v>0</v>
      </c>
      <c r="F9" s="2">
        <v>0</v>
      </c>
      <c r="G9" s="2"/>
      <c r="H9" s="33" t="s">
        <v>114</v>
      </c>
    </row>
    <row r="10" spans="1:12" ht="16" customHeight="1">
      <c r="A10" s="1" t="s">
        <v>35</v>
      </c>
      <c r="B10" s="1" t="s">
        <v>57</v>
      </c>
      <c r="C10" s="2">
        <v>6</v>
      </c>
      <c r="D10" s="2">
        <v>4</v>
      </c>
      <c r="E10" s="2">
        <v>0</v>
      </c>
      <c r="F10" s="2">
        <v>0</v>
      </c>
      <c r="G10" s="2"/>
      <c r="H10" s="33" t="s">
        <v>114</v>
      </c>
    </row>
    <row r="11" spans="1:12" ht="16" customHeight="1">
      <c r="A11" s="1" t="s">
        <v>37</v>
      </c>
      <c r="B11" s="1" t="s">
        <v>61</v>
      </c>
      <c r="C11" s="2">
        <v>12</v>
      </c>
      <c r="D11" s="2">
        <v>8</v>
      </c>
      <c r="E11" s="2">
        <v>0</v>
      </c>
      <c r="F11" s="2">
        <v>0</v>
      </c>
      <c r="G11" s="2"/>
      <c r="H11" s="33" t="s">
        <v>114</v>
      </c>
    </row>
    <row r="12" spans="1:12" ht="16" customHeight="1">
      <c r="A12" s="1" t="s">
        <v>34</v>
      </c>
      <c r="B12" s="1" t="s">
        <v>54</v>
      </c>
      <c r="C12" s="2">
        <v>17</v>
      </c>
      <c r="D12" s="2">
        <v>13</v>
      </c>
      <c r="E12" s="2" t="s">
        <v>77</v>
      </c>
      <c r="F12" s="2">
        <v>0</v>
      </c>
      <c r="G12" s="2"/>
    </row>
    <row r="13" spans="1:12" ht="16" customHeight="1">
      <c r="A13" s="1" t="s">
        <v>93</v>
      </c>
      <c r="B13" s="1" t="s">
        <v>91</v>
      </c>
      <c r="C13" s="2">
        <v>17.5</v>
      </c>
      <c r="D13" s="2">
        <v>13</v>
      </c>
      <c r="E13" s="2" t="s">
        <v>92</v>
      </c>
      <c r="F13" s="2">
        <v>0</v>
      </c>
      <c r="G13" s="2"/>
    </row>
    <row r="14" spans="1:12" ht="16" customHeight="1">
      <c r="A14" s="1" t="s">
        <v>103</v>
      </c>
      <c r="B14" s="1" t="s">
        <v>102</v>
      </c>
      <c r="C14" s="2">
        <v>9.5</v>
      </c>
      <c r="D14" s="2">
        <v>7</v>
      </c>
      <c r="E14" s="2" t="s">
        <v>92</v>
      </c>
      <c r="F14" s="2">
        <v>0</v>
      </c>
      <c r="G14" s="2"/>
    </row>
    <row r="15" spans="1:12" ht="16" customHeight="1"/>
    <row r="16" spans="1:12" ht="16" customHeight="1">
      <c r="A16" s="1" t="s">
        <v>33</v>
      </c>
      <c r="B16" s="1" t="s">
        <v>53</v>
      </c>
      <c r="C16" s="2">
        <v>1</v>
      </c>
      <c r="D16" s="2">
        <v>1</v>
      </c>
      <c r="E16" s="2">
        <v>2</v>
      </c>
      <c r="F16" s="2">
        <v>0</v>
      </c>
      <c r="G16" s="2"/>
    </row>
    <row r="17" spans="1:9" ht="16" customHeight="1">
      <c r="A17" s="1" t="s">
        <v>86</v>
      </c>
      <c r="B17" s="1" t="s">
        <v>85</v>
      </c>
      <c r="C17" s="2">
        <v>7</v>
      </c>
      <c r="D17" s="2">
        <v>5</v>
      </c>
      <c r="E17" s="2">
        <v>4</v>
      </c>
      <c r="F17" s="2">
        <v>0</v>
      </c>
      <c r="G17" s="2"/>
    </row>
    <row r="18" spans="1:9" ht="17">
      <c r="A18" s="1" t="s">
        <v>25</v>
      </c>
      <c r="B18" s="1" t="s">
        <v>60</v>
      </c>
      <c r="C18" s="2">
        <v>6.8239999999999998</v>
      </c>
      <c r="D18" s="2">
        <v>4.8250000000000002</v>
      </c>
      <c r="E18" s="2">
        <v>3.6469999999999998</v>
      </c>
      <c r="F18" s="2">
        <v>0</v>
      </c>
      <c r="G18" s="2"/>
    </row>
    <row r="19" spans="1:9">
      <c r="A19" s="1"/>
      <c r="B19" s="1"/>
      <c r="C19" s="2"/>
      <c r="D19" s="2"/>
      <c r="E19" s="2"/>
      <c r="F19" s="2"/>
      <c r="G19" s="2"/>
    </row>
    <row r="20" spans="1:9" ht="16" customHeight="1">
      <c r="A20" s="1" t="s">
        <v>27</v>
      </c>
      <c r="B20" s="1" t="s">
        <v>58</v>
      </c>
      <c r="C20" s="2">
        <v>11</v>
      </c>
      <c r="D20" s="2">
        <v>7</v>
      </c>
      <c r="E20" s="2">
        <v>2</v>
      </c>
      <c r="F20" s="2">
        <v>0</v>
      </c>
      <c r="G20" s="2"/>
    </row>
    <row r="21" spans="1:9" ht="16" customHeight="1">
      <c r="A21" s="1" t="s">
        <v>36</v>
      </c>
      <c r="B21" s="1" t="s">
        <v>59</v>
      </c>
      <c r="C21" s="2">
        <v>23</v>
      </c>
      <c r="D21" s="2">
        <v>15</v>
      </c>
      <c r="E21" s="2">
        <v>2</v>
      </c>
      <c r="F21" s="2">
        <v>0</v>
      </c>
      <c r="G21" s="2"/>
    </row>
    <row r="22" spans="1:9" ht="16" customHeight="1">
      <c r="A22" s="1" t="s">
        <v>31</v>
      </c>
      <c r="B22" s="1" t="s">
        <v>30</v>
      </c>
      <c r="C22" s="2">
        <v>14</v>
      </c>
      <c r="D22" s="2">
        <v>10</v>
      </c>
      <c r="E22" s="2">
        <v>8</v>
      </c>
      <c r="F22" s="2">
        <v>0</v>
      </c>
      <c r="G22" s="2"/>
    </row>
    <row r="23" spans="1:9" ht="16" customHeight="1">
      <c r="A23" s="1" t="s">
        <v>88</v>
      </c>
      <c r="B23" s="1" t="s">
        <v>89</v>
      </c>
      <c r="C23" s="2">
        <v>12.5</v>
      </c>
      <c r="D23" s="2">
        <v>8</v>
      </c>
      <c r="E23" s="2">
        <v>0.5</v>
      </c>
      <c r="F23" s="2">
        <v>0</v>
      </c>
      <c r="G23" s="2"/>
    </row>
    <row r="24" spans="1:9" ht="16" customHeight="1">
      <c r="A24" s="1" t="s">
        <v>38</v>
      </c>
      <c r="B24" s="1" t="s">
        <v>51</v>
      </c>
      <c r="C24" s="2">
        <v>4</v>
      </c>
      <c r="D24" s="2">
        <v>3</v>
      </c>
      <c r="E24" s="2">
        <v>0</v>
      </c>
      <c r="F24" s="2">
        <v>0</v>
      </c>
      <c r="G24" s="36">
        <f>2/3</f>
        <v>0.66666666666666663</v>
      </c>
      <c r="H24" s="33" t="s">
        <v>114</v>
      </c>
    </row>
    <row r="25" spans="1:9" ht="16" customHeight="1">
      <c r="A25" s="1" t="s">
        <v>191</v>
      </c>
      <c r="B25" s="1" t="s">
        <v>51</v>
      </c>
      <c r="C25" s="2">
        <v>4</v>
      </c>
      <c r="D25" s="2">
        <v>3</v>
      </c>
      <c r="E25" s="2">
        <v>0</v>
      </c>
      <c r="F25" s="2">
        <v>0</v>
      </c>
      <c r="G25" s="36"/>
      <c r="H25" s="33" t="s">
        <v>114</v>
      </c>
    </row>
    <row r="26" spans="1:9" ht="17">
      <c r="A26" s="1" t="s">
        <v>39</v>
      </c>
      <c r="B26" s="1" t="s">
        <v>62</v>
      </c>
      <c r="C26" s="2">
        <v>1</v>
      </c>
      <c r="D26" s="2">
        <v>1</v>
      </c>
      <c r="E26" s="2">
        <v>0</v>
      </c>
      <c r="F26" s="2">
        <v>1</v>
      </c>
      <c r="G26" s="2"/>
    </row>
    <row r="27" spans="1:9" ht="17">
      <c r="A27" s="1" t="s">
        <v>40</v>
      </c>
      <c r="B27" s="1" t="s">
        <v>42</v>
      </c>
      <c r="C27" s="2">
        <v>2</v>
      </c>
      <c r="D27" s="2">
        <v>2</v>
      </c>
      <c r="E27" s="2">
        <v>0</v>
      </c>
      <c r="F27" s="2">
        <v>2</v>
      </c>
      <c r="G27" s="2"/>
    </row>
    <row r="28" spans="1:9" ht="17">
      <c r="A28" s="1" t="s">
        <v>78</v>
      </c>
      <c r="B28" s="1" t="s">
        <v>79</v>
      </c>
      <c r="C28" s="2">
        <v>8</v>
      </c>
      <c r="D28" s="2">
        <v>5</v>
      </c>
      <c r="E28" s="2">
        <v>0</v>
      </c>
      <c r="F28" s="2">
        <v>0</v>
      </c>
      <c r="G28" s="2"/>
    </row>
    <row r="29" spans="1:9" ht="17">
      <c r="A29" s="100" t="s">
        <v>76</v>
      </c>
      <c r="B29" s="100" t="s">
        <v>75</v>
      </c>
      <c r="C29" s="2">
        <v>11</v>
      </c>
      <c r="D29" s="2">
        <v>8</v>
      </c>
      <c r="E29" s="2" t="s">
        <v>77</v>
      </c>
      <c r="F29" s="2">
        <v>0</v>
      </c>
      <c r="G29" s="2"/>
      <c r="H29" s="2"/>
      <c r="I29" s="2"/>
    </row>
    <row r="30" spans="1:9">
      <c r="A30" s="100"/>
      <c r="B30" s="100"/>
      <c r="C30" s="2"/>
      <c r="D30" s="2"/>
      <c r="E30" s="2"/>
      <c r="F30" s="2"/>
      <c r="G30" s="2"/>
      <c r="H30" s="2"/>
      <c r="I30" s="2"/>
    </row>
    <row r="31" spans="1:9" ht="17">
      <c r="A31" s="100" t="s">
        <v>81</v>
      </c>
      <c r="B31" s="100" t="s">
        <v>83</v>
      </c>
      <c r="C31" s="2">
        <v>11</v>
      </c>
      <c r="D31" s="2">
        <v>7</v>
      </c>
      <c r="E31" s="2" t="s">
        <v>77</v>
      </c>
      <c r="F31" s="2">
        <v>0</v>
      </c>
      <c r="G31" s="2"/>
      <c r="H31" s="2"/>
      <c r="I31" s="2"/>
    </row>
    <row r="32" spans="1:9" ht="17">
      <c r="A32" s="100" t="s">
        <v>82</v>
      </c>
      <c r="B32" s="100" t="s">
        <v>84</v>
      </c>
      <c r="C32" s="2">
        <v>23</v>
      </c>
      <c r="D32" s="2">
        <v>15</v>
      </c>
      <c r="E32" s="2" t="s">
        <v>77</v>
      </c>
      <c r="F32" s="2">
        <v>0</v>
      </c>
      <c r="G32" s="2"/>
      <c r="H32" s="2"/>
      <c r="I32" s="2"/>
    </row>
    <row r="33" spans="1:10" ht="17">
      <c r="A33" s="100" t="s">
        <v>88</v>
      </c>
      <c r="B33" s="100" t="s">
        <v>89</v>
      </c>
      <c r="C33" s="2">
        <v>12.5</v>
      </c>
      <c r="D33" s="2">
        <v>8</v>
      </c>
      <c r="E33" s="2">
        <v>0.5</v>
      </c>
      <c r="F33" s="2">
        <v>0</v>
      </c>
      <c r="G33" s="2">
        <v>1</v>
      </c>
      <c r="H33" s="2"/>
      <c r="I33" s="2"/>
    </row>
    <row r="34" spans="1:10" ht="17">
      <c r="A34" s="100" t="s">
        <v>275</v>
      </c>
      <c r="B34" s="100" t="s">
        <v>274</v>
      </c>
      <c r="C34" s="2">
        <v>8.5</v>
      </c>
      <c r="D34" s="2">
        <v>6</v>
      </c>
      <c r="E34" s="2">
        <v>1</v>
      </c>
      <c r="F34" s="2">
        <v>0</v>
      </c>
      <c r="G34" s="2">
        <f>1/2</f>
        <v>0.5</v>
      </c>
      <c r="H34" s="33" t="s">
        <v>114</v>
      </c>
      <c r="I34" s="2"/>
    </row>
    <row r="35" spans="1:10" ht="17">
      <c r="A35" s="100" t="s">
        <v>304</v>
      </c>
      <c r="B35" s="100" t="s">
        <v>306</v>
      </c>
      <c r="C35" s="2">
        <v>25.5</v>
      </c>
      <c r="D35" s="2">
        <v>16</v>
      </c>
      <c r="E35" s="2">
        <v>0</v>
      </c>
      <c r="F35" s="2">
        <v>0</v>
      </c>
      <c r="G35" s="2"/>
      <c r="H35" s="2"/>
      <c r="I35" s="2"/>
    </row>
    <row r="36" spans="1:10" ht="17">
      <c r="A36" s="100" t="s">
        <v>337</v>
      </c>
      <c r="B36" s="100" t="s">
        <v>336</v>
      </c>
      <c r="C36" s="2">
        <v>15</v>
      </c>
      <c r="D36" s="2">
        <v>10</v>
      </c>
      <c r="E36" s="2">
        <v>2</v>
      </c>
      <c r="F36" s="2">
        <v>0</v>
      </c>
      <c r="G36" s="2"/>
      <c r="H36" s="33" t="s">
        <v>114</v>
      </c>
      <c r="I36" s="2"/>
    </row>
    <row r="37" spans="1:10">
      <c r="A37" s="100"/>
      <c r="B37" s="2"/>
      <c r="C37" s="2"/>
      <c r="D37" s="2"/>
      <c r="E37" s="2"/>
      <c r="F37" s="2"/>
      <c r="G37" s="2"/>
      <c r="H37" s="2"/>
      <c r="I37" s="2"/>
    </row>
    <row r="38" spans="1:10" ht="17">
      <c r="A38" s="2" t="s">
        <v>108</v>
      </c>
      <c r="B38" s="2"/>
      <c r="C38" s="2"/>
      <c r="D38" s="2"/>
      <c r="E38" s="2"/>
      <c r="F38" s="2"/>
      <c r="G38" s="2"/>
      <c r="H38" s="2"/>
      <c r="I38" s="2"/>
    </row>
    <row r="39" spans="1:10" ht="17">
      <c r="A39" s="2" t="s">
        <v>107</v>
      </c>
      <c r="B39" s="2"/>
      <c r="C39" s="2"/>
      <c r="D39" s="2"/>
      <c r="E39" s="2"/>
      <c r="F39" s="2"/>
      <c r="G39" s="2"/>
      <c r="H39" s="2"/>
      <c r="I39" s="2" t="s">
        <v>116</v>
      </c>
    </row>
    <row r="40" spans="1:10">
      <c r="A40" s="1"/>
    </row>
    <row r="41" spans="1:10" ht="17">
      <c r="A41" s="1" t="s">
        <v>63</v>
      </c>
    </row>
    <row r="42" spans="1:10">
      <c r="A42" s="146" t="s">
        <v>74</v>
      </c>
      <c r="B42" s="146"/>
      <c r="C42" s="146"/>
      <c r="D42" s="146"/>
      <c r="E42" s="146"/>
      <c r="F42" s="146"/>
      <c r="G42" s="146"/>
      <c r="H42" s="146"/>
      <c r="I42" s="146"/>
      <c r="J42" s="146"/>
    </row>
    <row r="43" spans="1:10">
      <c r="A43" s="146" t="s">
        <v>80</v>
      </c>
      <c r="B43" s="146"/>
      <c r="C43" s="146"/>
      <c r="D43" s="146"/>
      <c r="E43" s="146"/>
      <c r="F43" s="146"/>
      <c r="G43" s="146"/>
      <c r="H43" s="146"/>
      <c r="I43" s="146"/>
      <c r="J43" s="146"/>
    </row>
    <row r="44" spans="1:10">
      <c r="A44" s="146" t="s">
        <v>87</v>
      </c>
      <c r="B44" s="146"/>
      <c r="C44" s="146"/>
      <c r="D44" s="146"/>
      <c r="E44" s="146"/>
      <c r="F44" s="146"/>
      <c r="G44" s="146"/>
      <c r="H44" s="146"/>
      <c r="I44" s="146"/>
      <c r="J44" s="146"/>
    </row>
    <row r="45" spans="1:10">
      <c r="A45" s="146" t="s">
        <v>94</v>
      </c>
      <c r="B45" s="146"/>
      <c r="C45" s="146"/>
      <c r="D45" s="146"/>
      <c r="E45" s="146"/>
      <c r="F45" s="146"/>
      <c r="G45" s="146"/>
      <c r="H45" s="146"/>
      <c r="I45" s="146"/>
      <c r="J45" s="146"/>
    </row>
    <row r="46" spans="1:10">
      <c r="A46" s="146" t="s">
        <v>104</v>
      </c>
      <c r="B46" s="146"/>
      <c r="C46" s="146"/>
      <c r="D46" s="146"/>
      <c r="E46" s="146"/>
      <c r="F46" s="146"/>
      <c r="G46" s="146"/>
      <c r="H46" s="146"/>
      <c r="I46" s="146"/>
      <c r="J46" s="146"/>
    </row>
    <row r="47" spans="1:10">
      <c r="A47" s="146" t="s">
        <v>118</v>
      </c>
      <c r="B47" s="146"/>
      <c r="C47" s="146"/>
      <c r="D47" s="146"/>
      <c r="E47" s="146"/>
      <c r="F47" s="146"/>
      <c r="G47" s="146"/>
      <c r="H47" s="146"/>
      <c r="I47" s="146"/>
      <c r="J47" s="146"/>
    </row>
    <row r="48" spans="1:10">
      <c r="A48" s="146" t="s">
        <v>117</v>
      </c>
      <c r="B48" s="146"/>
      <c r="C48" s="146"/>
      <c r="D48" s="146"/>
      <c r="E48" s="146"/>
      <c r="F48" s="146"/>
      <c r="G48" s="146"/>
      <c r="H48" s="146"/>
      <c r="I48" s="146"/>
      <c r="J48" s="146"/>
    </row>
    <row r="49" spans="1:10">
      <c r="A49" s="146" t="s">
        <v>156</v>
      </c>
      <c r="B49" s="146"/>
      <c r="C49" s="146"/>
      <c r="D49" s="146"/>
      <c r="E49" s="146"/>
      <c r="F49" s="146"/>
      <c r="G49" s="146"/>
      <c r="H49" s="146"/>
      <c r="I49" s="146"/>
      <c r="J49" s="146"/>
    </row>
    <row r="50" spans="1:10">
      <c r="A50" s="146" t="s">
        <v>169</v>
      </c>
      <c r="B50" s="146"/>
      <c r="C50" s="146"/>
      <c r="D50" s="146"/>
      <c r="E50" s="146"/>
      <c r="F50" s="146"/>
      <c r="G50" s="146"/>
      <c r="H50" s="146"/>
      <c r="I50" s="146"/>
      <c r="J50" s="146"/>
    </row>
    <row r="51" spans="1:10">
      <c r="A51" s="146" t="s">
        <v>179</v>
      </c>
      <c r="B51" s="146"/>
      <c r="C51" s="146"/>
      <c r="D51" s="146"/>
      <c r="E51" s="146"/>
      <c r="F51" s="146"/>
      <c r="G51" s="146"/>
      <c r="H51" s="146"/>
      <c r="I51" s="146"/>
      <c r="J51" s="146"/>
    </row>
    <row r="52" spans="1:10">
      <c r="A52" s="146" t="s">
        <v>266</v>
      </c>
      <c r="B52" s="146"/>
      <c r="C52" s="146"/>
      <c r="D52" s="146"/>
      <c r="E52" s="146"/>
      <c r="F52" s="146"/>
      <c r="G52" s="146"/>
      <c r="H52" s="146"/>
      <c r="I52" s="146"/>
      <c r="J52" s="146"/>
    </row>
    <row r="53" spans="1:10">
      <c r="A53" s="146" t="s">
        <v>271</v>
      </c>
      <c r="B53" s="146"/>
      <c r="C53" s="146"/>
      <c r="D53" s="146"/>
      <c r="E53" s="146"/>
      <c r="F53" s="146"/>
      <c r="G53" s="146"/>
      <c r="H53" s="146"/>
      <c r="I53" s="146"/>
      <c r="J53" s="146"/>
    </row>
    <row r="54" spans="1:10">
      <c r="A54" s="146" t="s">
        <v>277</v>
      </c>
      <c r="B54" s="146"/>
      <c r="C54" s="146"/>
      <c r="D54" s="146"/>
      <c r="E54" s="146"/>
      <c r="F54" s="146"/>
      <c r="G54" s="146"/>
      <c r="H54" s="146"/>
      <c r="I54" s="146"/>
      <c r="J54" s="146"/>
    </row>
    <row r="55" spans="1:10">
      <c r="A55" s="146" t="s">
        <v>278</v>
      </c>
      <c r="B55" s="146"/>
      <c r="C55" s="146"/>
      <c r="D55" s="146"/>
      <c r="E55" s="146"/>
      <c r="F55" s="146"/>
      <c r="G55" s="146"/>
      <c r="H55" s="146"/>
      <c r="I55" s="146"/>
      <c r="J55" s="146"/>
    </row>
    <row r="56" spans="1:10">
      <c r="A56" s="146" t="s">
        <v>301</v>
      </c>
      <c r="B56" s="146"/>
      <c r="C56" s="146"/>
      <c r="D56" s="146"/>
      <c r="E56" s="146"/>
      <c r="F56" s="146"/>
      <c r="G56" s="146"/>
      <c r="H56" s="146"/>
      <c r="I56" s="146"/>
      <c r="J56" s="146"/>
    </row>
    <row r="57" spans="1:10">
      <c r="A57" s="146" t="s">
        <v>303</v>
      </c>
      <c r="B57" s="146"/>
      <c r="C57" s="146"/>
      <c r="D57" s="146"/>
      <c r="E57" s="146"/>
      <c r="F57" s="146"/>
      <c r="G57" s="146"/>
      <c r="H57" s="146"/>
      <c r="I57" s="146"/>
      <c r="J57" s="146"/>
    </row>
    <row r="58" spans="1:10">
      <c r="A58" s="146" t="s">
        <v>305</v>
      </c>
      <c r="B58" s="146"/>
      <c r="C58" s="146"/>
      <c r="D58" s="146"/>
      <c r="E58" s="146"/>
      <c r="F58" s="146"/>
      <c r="G58" s="146"/>
      <c r="H58" s="146"/>
      <c r="I58" s="146"/>
      <c r="J58" s="146"/>
    </row>
    <row r="59" spans="1:10">
      <c r="A59" s="146" t="s">
        <v>316</v>
      </c>
      <c r="B59" s="146"/>
      <c r="C59" s="146"/>
      <c r="D59" s="146"/>
      <c r="E59" s="146"/>
      <c r="F59" s="146"/>
      <c r="G59" s="146"/>
      <c r="H59" s="146"/>
      <c r="I59" s="146"/>
      <c r="J59" s="146"/>
    </row>
    <row r="60" spans="1:10">
      <c r="A60" s="146" t="s">
        <v>323</v>
      </c>
      <c r="B60" s="146"/>
      <c r="C60" s="146"/>
      <c r="D60" s="146"/>
      <c r="E60" s="146"/>
      <c r="F60" s="146"/>
      <c r="G60" s="146"/>
      <c r="H60" s="146"/>
      <c r="I60" s="146"/>
      <c r="J60" s="146"/>
    </row>
    <row r="61" spans="1:10">
      <c r="A61" s="146" t="s">
        <v>328</v>
      </c>
      <c r="B61" s="146"/>
      <c r="C61" s="146"/>
      <c r="D61" s="146"/>
      <c r="E61" s="146"/>
      <c r="F61" s="146"/>
      <c r="G61" s="146"/>
      <c r="H61" s="146"/>
      <c r="I61" s="146"/>
      <c r="J61" s="146"/>
    </row>
    <row r="62" spans="1:10">
      <c r="A62" s="146" t="s">
        <v>344</v>
      </c>
      <c r="B62" s="146"/>
      <c r="C62" s="146"/>
      <c r="D62" s="146"/>
      <c r="E62" s="146"/>
      <c r="F62" s="146"/>
      <c r="G62" s="146"/>
      <c r="H62" s="146"/>
      <c r="I62" s="146"/>
      <c r="J62" s="146"/>
    </row>
    <row r="63" spans="1:10">
      <c r="A63" s="146" t="s">
        <v>412</v>
      </c>
      <c r="B63" s="146"/>
      <c r="C63" s="146"/>
      <c r="D63" s="146"/>
      <c r="E63" s="146"/>
      <c r="F63" s="146"/>
      <c r="G63" s="146"/>
      <c r="H63" s="146"/>
      <c r="I63" s="146"/>
      <c r="J63" s="146"/>
    </row>
    <row r="64" spans="1:10">
      <c r="A64" s="146" t="s">
        <v>469</v>
      </c>
      <c r="B64" s="146"/>
      <c r="C64" s="146"/>
      <c r="D64" s="146"/>
      <c r="E64" s="146"/>
      <c r="F64" s="146"/>
      <c r="G64" s="146"/>
      <c r="H64" s="146"/>
      <c r="I64" s="146"/>
      <c r="J64" s="146"/>
    </row>
    <row r="65" spans="1:10">
      <c r="A65" s="146" t="s">
        <v>504</v>
      </c>
      <c r="B65" s="146"/>
      <c r="C65" s="146"/>
      <c r="D65" s="146"/>
      <c r="E65" s="146"/>
      <c r="F65" s="146"/>
      <c r="G65" s="146"/>
      <c r="H65" s="146"/>
      <c r="I65" s="146"/>
      <c r="J65" s="146"/>
    </row>
    <row r="66" spans="1:10" ht="48" customHeight="1">
      <c r="A66" s="146" t="s">
        <v>507</v>
      </c>
      <c r="B66" s="146"/>
      <c r="C66" s="146"/>
      <c r="D66" s="146"/>
      <c r="E66" s="146"/>
      <c r="F66" s="146"/>
      <c r="G66" s="146"/>
      <c r="H66" s="146"/>
      <c r="I66" s="146"/>
      <c r="J66" s="146"/>
    </row>
    <row r="67" spans="1:10">
      <c r="A67" s="100"/>
    </row>
    <row r="70" spans="1:10">
      <c r="C70" t="s">
        <v>505</v>
      </c>
    </row>
  </sheetData>
  <mergeCells count="27">
    <mergeCell ref="A49:J49"/>
    <mergeCell ref="A50:J50"/>
    <mergeCell ref="A51:J51"/>
    <mergeCell ref="A52:J52"/>
    <mergeCell ref="A46:J46"/>
    <mergeCell ref="A47:J47"/>
    <mergeCell ref="A48:J48"/>
    <mergeCell ref="A2:L2"/>
    <mergeCell ref="A42:J42"/>
    <mergeCell ref="A43:J43"/>
    <mergeCell ref="A44:J44"/>
    <mergeCell ref="A45:J45"/>
    <mergeCell ref="A3:L3"/>
    <mergeCell ref="A66:J66"/>
    <mergeCell ref="A65:J65"/>
    <mergeCell ref="A64:J64"/>
    <mergeCell ref="A53:J53"/>
    <mergeCell ref="A61:J61"/>
    <mergeCell ref="A56:J56"/>
    <mergeCell ref="A55:J55"/>
    <mergeCell ref="A57:J57"/>
    <mergeCell ref="A58:J58"/>
    <mergeCell ref="A60:J60"/>
    <mergeCell ref="A59:J59"/>
    <mergeCell ref="A63:J63"/>
    <mergeCell ref="A62:J62"/>
    <mergeCell ref="A54:J54"/>
  </mergeCells>
  <phoneticPr fontId="33"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4"/>
  <sheetViews>
    <sheetView topLeftCell="F1" zoomScale="125" zoomScaleNormal="125" zoomScalePageLayoutView="125" workbookViewId="0">
      <pane ySplit="1" topLeftCell="A2" activePane="bottomLeft" state="frozen"/>
      <selection pane="bottomLeft" activeCell="AO7" sqref="AO7"/>
    </sheetView>
  </sheetViews>
  <sheetFormatPr baseColWidth="10" defaultRowHeight="16" customHeight="1"/>
  <cols>
    <col min="1" max="1" width="6.5" style="18" bestFit="1" customWidth="1"/>
    <col min="2" max="2" width="5.1640625" style="17" customWidth="1"/>
    <col min="3" max="3" width="7.6640625" style="17" bestFit="1" customWidth="1"/>
    <col min="4" max="4" width="34.1640625" style="17" bestFit="1" customWidth="1"/>
    <col min="5" max="5" width="2.83203125" style="18" bestFit="1" customWidth="1"/>
    <col min="6" max="6" width="4.5" style="18" bestFit="1" customWidth="1"/>
    <col min="7" max="7" width="4.1640625" style="18" bestFit="1" customWidth="1"/>
    <col min="8" max="8" width="4.1640625" style="16" customWidth="1"/>
    <col min="9" max="9" width="5.83203125" style="20" bestFit="1" customWidth="1"/>
    <col min="10" max="10" width="5.1640625" style="20" bestFit="1" customWidth="1"/>
    <col min="11" max="11" width="6.1640625" style="20" bestFit="1" customWidth="1"/>
    <col min="12" max="12" width="6.5" style="20" bestFit="1" customWidth="1"/>
    <col min="13" max="13" width="7" style="20" bestFit="1" customWidth="1"/>
    <col min="14" max="14" width="5.1640625" style="20" bestFit="1" customWidth="1"/>
    <col min="15" max="15" width="5.83203125" style="20" bestFit="1" customWidth="1"/>
    <col min="16" max="16" width="5" style="20" bestFit="1" customWidth="1"/>
    <col min="17" max="17" width="5" style="20" customWidth="1"/>
    <col min="18" max="18" width="5.6640625" style="20" bestFit="1" customWidth="1"/>
    <col min="19" max="19" width="6" style="20" bestFit="1" customWidth="1"/>
    <col min="20" max="20" width="4.83203125" style="20" bestFit="1" customWidth="1"/>
    <col min="21" max="21" width="4.83203125" style="20" customWidth="1"/>
    <col min="22" max="22" width="5.6640625" style="20" bestFit="1" customWidth="1"/>
    <col min="23" max="23" width="4.83203125" style="20" customWidth="1"/>
    <col min="24" max="24" width="4.83203125" style="20" bestFit="1" customWidth="1"/>
    <col min="25" max="25" width="4" style="20" bestFit="1" customWidth="1"/>
    <col min="26" max="26" width="4.83203125" style="20" bestFit="1" customWidth="1"/>
    <col min="27" max="27" width="1" customWidth="1"/>
    <col min="28" max="28" width="5.33203125" style="23" bestFit="1" customWidth="1"/>
    <col min="29" max="29" width="4.33203125" style="23" bestFit="1" customWidth="1"/>
    <col min="30" max="30" width="14.33203125" style="26" bestFit="1" customWidth="1"/>
    <col min="31" max="31" width="1.33203125" style="26" customWidth="1"/>
    <col min="32" max="32" width="9.1640625" style="42" bestFit="1" customWidth="1"/>
    <col min="33" max="33" width="7.5" style="19" bestFit="1" customWidth="1"/>
    <col min="34" max="34" width="6.1640625" style="19" bestFit="1" customWidth="1"/>
    <col min="35" max="35" width="9.6640625" style="16" bestFit="1" customWidth="1"/>
    <col min="36" max="36" width="6.5" style="16" bestFit="1" customWidth="1"/>
    <col min="37" max="37" width="6" style="16" bestFit="1" customWidth="1"/>
    <col min="38" max="38" width="6" style="16" customWidth="1"/>
    <col min="39" max="39" width="7.5" style="46" bestFit="1" customWidth="1"/>
    <col min="40" max="40" width="1.1640625" style="16" customWidth="1"/>
    <col min="41" max="41" width="7.33203125" style="38" customWidth="1"/>
    <col min="42" max="42" width="1.1640625" style="16" customWidth="1"/>
    <col min="43" max="43" width="8.5" style="52" bestFit="1" customWidth="1"/>
    <col min="44" max="44" width="8.33203125" style="52" bestFit="1" customWidth="1"/>
    <col min="45" max="45" width="1.33203125" style="52" customWidth="1"/>
    <col min="46" max="46" width="5.6640625" style="52" bestFit="1" customWidth="1"/>
    <col min="47" max="47" width="6.5" style="52" bestFit="1" customWidth="1"/>
    <col min="48" max="48" width="4.83203125" style="16" bestFit="1" customWidth="1"/>
    <col min="49" max="60" width="6.5" style="16" customWidth="1"/>
    <col min="61" max="66" width="6.5" customWidth="1"/>
    <col min="67" max="67" width="4.83203125" customWidth="1"/>
    <col min="68" max="68" width="11.33203125" style="16" bestFit="1" customWidth="1"/>
    <col min="69" max="69" width="6.5" style="16" customWidth="1"/>
    <col min="70" max="16384" width="10.83203125" style="16"/>
  </cols>
  <sheetData>
    <row r="1" spans="1:69" ht="16" customHeight="1">
      <c r="A1" s="4" t="s">
        <v>0</v>
      </c>
      <c r="B1" s="4" t="s">
        <v>174</v>
      </c>
      <c r="C1" s="5" t="s">
        <v>1</v>
      </c>
      <c r="D1" s="5" t="s">
        <v>11</v>
      </c>
      <c r="E1" s="4" t="s">
        <v>119</v>
      </c>
      <c r="F1" s="4" t="s">
        <v>333</v>
      </c>
      <c r="G1" s="4" t="s">
        <v>466</v>
      </c>
      <c r="H1" s="4"/>
      <c r="I1" s="4" t="s">
        <v>44</v>
      </c>
      <c r="J1" s="4" t="s">
        <v>47</v>
      </c>
      <c r="K1" s="4" t="s">
        <v>45</v>
      </c>
      <c r="L1" s="4" t="s">
        <v>48</v>
      </c>
      <c r="M1" s="4" t="s">
        <v>46</v>
      </c>
      <c r="N1" s="4" t="s">
        <v>3</v>
      </c>
      <c r="O1" s="4" t="s">
        <v>2</v>
      </c>
      <c r="P1" s="4" t="s">
        <v>5</v>
      </c>
      <c r="Q1" s="4" t="s">
        <v>112</v>
      </c>
      <c r="R1" s="4" t="s">
        <v>6</v>
      </c>
      <c r="S1" s="4" t="s">
        <v>43</v>
      </c>
      <c r="T1" s="4" t="s">
        <v>64</v>
      </c>
      <c r="U1" s="39" t="s">
        <v>134</v>
      </c>
      <c r="V1" s="39" t="s">
        <v>335</v>
      </c>
      <c r="W1" s="39" t="s">
        <v>135</v>
      </c>
      <c r="X1" s="39" t="s">
        <v>65</v>
      </c>
      <c r="Y1" s="39" t="s">
        <v>66</v>
      </c>
      <c r="Z1" s="98" t="s">
        <v>296</v>
      </c>
      <c r="AA1" s="4"/>
      <c r="AB1" s="22" t="s">
        <v>68</v>
      </c>
      <c r="AC1" s="22" t="s">
        <v>69</v>
      </c>
      <c r="AD1" s="22" t="s">
        <v>98</v>
      </c>
      <c r="AE1" s="22"/>
      <c r="AF1" s="40" t="s">
        <v>175</v>
      </c>
      <c r="AG1" s="28" t="s">
        <v>99</v>
      </c>
      <c r="AH1" s="28" t="s">
        <v>4</v>
      </c>
      <c r="AI1" s="39" t="s">
        <v>100</v>
      </c>
      <c r="AJ1" s="39" t="s">
        <v>101</v>
      </c>
      <c r="AK1" s="4" t="s">
        <v>7</v>
      </c>
      <c r="AL1" s="4"/>
      <c r="AM1" s="45" t="s">
        <v>13</v>
      </c>
      <c r="AN1" s="4"/>
      <c r="AO1" s="43" t="s">
        <v>95</v>
      </c>
      <c r="AP1" s="4"/>
      <c r="AQ1" s="47" t="s">
        <v>14</v>
      </c>
      <c r="AR1" s="48" t="s">
        <v>97</v>
      </c>
      <c r="AS1" s="47"/>
      <c r="AT1" s="49" t="s">
        <v>15</v>
      </c>
      <c r="AU1" s="49" t="s">
        <v>29</v>
      </c>
      <c r="AV1" s="7"/>
      <c r="AW1" s="6" t="s">
        <v>18</v>
      </c>
      <c r="AX1" s="6" t="s">
        <v>22</v>
      </c>
      <c r="AY1" s="6" t="s">
        <v>19</v>
      </c>
      <c r="AZ1" s="6" t="s">
        <v>23</v>
      </c>
      <c r="BA1" s="6" t="s">
        <v>49</v>
      </c>
      <c r="BB1" s="6" t="s">
        <v>50</v>
      </c>
      <c r="BC1" s="6" t="s">
        <v>20</v>
      </c>
      <c r="BD1" s="6" t="s">
        <v>17</v>
      </c>
      <c r="BE1" s="6" t="s">
        <v>24</v>
      </c>
      <c r="BF1" s="6" t="s">
        <v>109</v>
      </c>
      <c r="BG1" s="6" t="s">
        <v>21</v>
      </c>
      <c r="BH1" s="6" t="s">
        <v>16</v>
      </c>
      <c r="BI1" s="6" t="s">
        <v>67</v>
      </c>
      <c r="BJ1" s="6" t="s">
        <v>119</v>
      </c>
      <c r="BK1" s="6" t="s">
        <v>126</v>
      </c>
      <c r="BL1" s="6" t="s">
        <v>105</v>
      </c>
      <c r="BM1" s="6" t="s">
        <v>65</v>
      </c>
      <c r="BN1" s="6" t="s">
        <v>66</v>
      </c>
      <c r="BO1" s="6"/>
      <c r="BP1" s="7" t="s">
        <v>97</v>
      </c>
      <c r="BQ1" s="7" t="s">
        <v>96</v>
      </c>
    </row>
    <row r="2" spans="1:69" ht="16" customHeight="1">
      <c r="A2" s="18">
        <v>1</v>
      </c>
      <c r="B2" s="17" t="s">
        <v>35</v>
      </c>
      <c r="C2" s="17" t="s">
        <v>463</v>
      </c>
      <c r="D2" s="17" t="s">
        <v>467</v>
      </c>
      <c r="E2" s="18">
        <v>14</v>
      </c>
      <c r="F2" s="18">
        <v>900</v>
      </c>
      <c r="G2" s="18">
        <v>7</v>
      </c>
      <c r="I2" s="20">
        <v>46.533000000000001</v>
      </c>
      <c r="J2" s="20">
        <v>0.27200000000000002</v>
      </c>
      <c r="K2" s="20">
        <v>7.7409999999999997</v>
      </c>
      <c r="L2" s="20">
        <v>1.2999999999999999E-2</v>
      </c>
      <c r="M2" s="20">
        <v>10.468</v>
      </c>
      <c r="N2" s="20">
        <v>0.38300000000000001</v>
      </c>
      <c r="O2" s="20">
        <v>10.787000000000001</v>
      </c>
      <c r="R2" s="20">
        <v>19.879000000000001</v>
      </c>
      <c r="S2" s="20">
        <v>1.6459999999999999</v>
      </c>
      <c r="T2" s="20">
        <v>1.7999999999999999E-2</v>
      </c>
      <c r="U2" s="20">
        <v>1.0999999999999999E-2</v>
      </c>
      <c r="AB2" s="24">
        <f t="shared" ref="AB2:AB4" si="0">-(15.9995/(2*18.9984))*X2</f>
        <v>0</v>
      </c>
      <c r="AC2" s="24">
        <f t="shared" ref="AC2:AC4" si="1">-(15.9995/(2*35.453))*Y2</f>
        <v>0</v>
      </c>
      <c r="AD2" s="24">
        <f>SUM(I2:Z2)</f>
        <v>97.751000000000005</v>
      </c>
      <c r="AF2" s="41">
        <f>IF(AND(Z2&lt;&gt;""),BB2/(BB2+BA2),
IF(AND(AM2="Mag",AO2&lt;&gt;"both"),2/3,
IF(AND(AM2="Ep",AO2&lt;&gt;"both"),1,
IF(AO2="both",BB2/(BB2+BA2),
0
))))</f>
        <v>0.70148184436635763</v>
      </c>
      <c r="AG2" s="21">
        <f>IF(AND(Z2&lt;&gt;""),2*Z2/31.999*159.69,
159.69*(M2/71.85)*(AF2)/2)</f>
        <v>8.1602056143967197</v>
      </c>
      <c r="AH2" s="21">
        <f t="shared" ref="AH2" si="2">IF(AND(Z2&lt;&gt;""),(M2/71.844-4*Z2/31.999)*71.844,
71.85*(M2/71.85)*(1-AF2))</f>
        <v>3.1248880531729681</v>
      </c>
      <c r="AI2" s="20">
        <f>IF(AM2&lt;&gt;"",18.015/2*AT2/(AQ2/(I2*2/60.08+J2*2/79.88+K2*3/101.96+L2*3/151.99+AG2*3/159.69+AH2/71.85+N2/70.94+O2/40.3+P2/74.69+Q2/81.38+R2/56.08+S2/61.98+T2/94.2+U2*5/283.889+V2*3/149.881+W2/80.06+X2/18.9984)),"")</f>
        <v>0</v>
      </c>
      <c r="AJ2" s="20"/>
      <c r="AK2" s="85">
        <f>IF(AM2&lt;&gt;"",SUM(O2,I2,K2,N2,AH2,AG2,P2,Q2,R2,J2,L2,AI2,AJ2,S2,T2,X2,Y2,AB2,AC2,U2,V2),"")</f>
        <v>98.568093667569698</v>
      </c>
      <c r="AL2" s="85"/>
      <c r="AM2" s="45" t="s">
        <v>35</v>
      </c>
      <c r="AN2" s="89"/>
      <c r="AO2" s="84" t="s">
        <v>468</v>
      </c>
      <c r="AP2" s="89"/>
      <c r="AQ2" s="50">
        <f>IF(AND(AO2="Anions",AM2="Amph"),23,
IF(AND(AO2="Cations",AM2="Amph"),BQ2,
IF(AND(AO2="Anions",AM2="Mica"),11,
IF(AND(AO2="Cations",AM2="Mica"),BQ2,
IF(AND(AO2="Anions",AM2="Ti-Chu"),17.5,
IF(AND(AO2="Cations",AM2="Ti-Chu"),BQ2,
IF(AND(AO2="Anions",AM2="F-Ph"),11.5,
IF(AND(AO2="Cations",AM2="F-Ph"),BQ2,
IF(AND(AO2="Anions",AM2="Pl"),8,
IF(AND(AO2="Cations",AM2="Pl"),BQ2,
IF(AND(AO2="Anions",AM2="Dol"),2,
IF(AND(AO2="Cations",AM2="Dol"),BQ2,
IF(AND(AO2="Anions",AM2="Cb"),1,
IF(AND(AO2="Cations",AM2="Cb"),BQ2,
IF(AND(AO2="Anions",AM2="Br"),1,
IF(AND(AO2="Cations",AM2="Br"),BQ2,
IF(AND(AO2="Anions",AM2="Liz"),7,
IF(AND(AO2="Cations",AM2="Liz"),BQ2,
IF(AND(AO2="Anions",AM2="Ep"),12.5,
IF(AND(AO2="Cations",AM2="Ep"),BQ2,
IF(AND(AO2="Anions",AM2="Chum"),17,
IF(AND(AO2="Cations",AM2="Chum"),BQ2,
IF(AND(AO2="Anions",AM2="Ol"),4,
IF(AND(AO2="Cations",AM2="Ol"),BQ2,
IF(AND(AO2="Anions",AM2="Opx"),6,
IF(AND(AO2="Cations",AM2="Opx"),BQ2,
IF(AND(AO2="both",AM2="Opx"),6,
IF(AND(AO2="Anions",AM2="Tlc"),11,
IF(AND(AO2="Cations",AM2="Tlc"),BQ2,
IF(AND(AO2="Anions",AM2="Tr"),23,
IF(AND(AO2="Cations",AM2="Tr"),BQ2,
IF(AND(AO2="Anions",AM2="Atg"),6.824,
IF(AND(AO2="Cations",AM2="Atg"),BQ2,
IF(AND(AO2="Anions",AM2="Chl"),14,
IF(AND(AO2="Cations",AM2="Chl"),BQ2,
IF(AND(AO2="Anions",AM2="Cpx"),6,
IF(AND(AO2="Cations",AM2="Cpx"),BQ2,
IF(AND(AO2="both",AM2="Cpx"),6,
IF(AND(AO2="Anions",AM2="Grt"),12,
IF(AND(AO2="Cations",AM2="Grt"),BQ2,
IF(AND(AO2="both",AM2="Grt"),12,
IF(AND(AO2="Anions",AM2="Mag"),4,
IF(AND(AO2="Cations",AM2="Mag"),BQ2,
IF(AND(AO2="both",AM2="Mag"),4,
IF(AND(AO2="Cations",AM2="Spl"),BQ2,
IF(AND(AO2="both",AM2="Spl"),4,
IF(AND(AO2="Anions",AM2="Ti-Cho"),9.5,
IF(AND(AO2="Cations",AM2="Ti-Cho"),BQ2,
IF(AND(AO2="Anions",AM2="Ilv"),8.5,
IF(AND(AO2="Cations",AM2="Ilv"),BQ2,
IF(AND(AO2="both",AM2="Ilv"),8.5,
IF(AND(AO2="Anions",AM2="Hem"),3,
IF(AND(AO2="Cations",AM2="Hem"),BQ2,
IF(AND(AO2="both",AM2="Hem"),3,
IF(AND(AO2="Anions",AM2="melt"),10,
IF(AND(AO2="both",AM2="Scp"),25.5,
IF(AND(AO2="Anions",AM2="Scp"),25.5,
IF(AND(AO2="Cations",AM2="Scp"),BQ2,
IF(AND(AO2="both",AM2="nol"),15,
IF(AND(AO2="Anions",AM2="nol"),15,
IF(AND(AO2="Cations",AM2="nol"),BQ2,
)))))))))))))))))))))))))))))))))))))))))))))))))))))))))))))</f>
        <v>6</v>
      </c>
      <c r="AR2" s="50">
        <f>IF(AND(AO2="Anions",AM2="Amph"),BP2,
IF(AND(AO2="Cations",AM2="Amph"),15,
IF(AND(AO2="Anions",AM2="Mica"),BP2,
IF(AND(AO2="Cations",AM2="Mica"),7,
IF(AND(AO2="Anions",AM2="Ti-Chu"),BP2,
IF(AND(AO2="Cations",AM2="Ti-Chu"),13,
IF(AND(AO2="Anions",AM2="F-Ph"),BP2,
IF(AND(AO2="Cations",AM2="F-Ph"),8,
IF(AND(AO2="Anions",AM2="Pl"),BP2,
IF(AND(AO2="Cations",AM2="Pl"),5,
IF(AND(AO2="Anions",AM2="Dol"),BP2,
IF(AND(AO2="Cations",AM2="Dol"),2,
IF(AND(AO2="Anions",AM2="Cb"),BP2,
IF(AND(AO2="Cations",AM2="Cb"),1,
IF(AND(AO2="Anions",AM2="Br"),BP2,
IF(AND(AO2="Cations",AM2="Br"),1,
IF(AND(AO2="Anions",AM2="Liz"),BP2,
IF(AND(AO2="Cations",AM2="Liz"),5,
IF(AND(AO2="Anions",AM2="Ep"),BP2,
IF(AND(AO2="Cations",AM2="Ep"),8,
IF(AND(AO2="Anions",AM2="Chum"),BP2,
IF(AND(AO2="Cations",AM2="Chum"),13,
IF(AND(AO2="Anions",AM2="Ol"),BP2,
IF(AND(AO2="Cations",AM2="Ol"),3,
IF(AND(AO2="Anions",AM2="Opx"),BP2,
IF(AND(AO2="Cations",AM2="Opx"),4,
IF(AND(AO2="both",AM2="Opx"),4,
IF(AND(AO2="Anions",AM2="Tlc"),BP2,
IF(AND(AO2="Cations",AM2="Tlc"),7,
IF(AND(AO2="Anions",AM2="Tr"),BP2,
IF(AND(AO2="Cations",AM2="Tr"),15,
IF(AND(AO2="Anions",AM2="Atg"),BP2,
IF(AND(AO2="Cations",AM2="Atg"),4.825,
IF(AND(AO2="Anions",AM2="Chl"),BP2,
IF(AND(AO2="Cations",AM2="Chl"),10,
IF(AND(AO2="Anions",AM2="Cpx"),BP2,
IF(AND(AO2="Cations",AM2="Cpx"),4,
IF(AND(AO2="both",AM2="Cpx"),4,
IF(AND(AO2="Anions",AM2="Grt"),BP2,
IF(AND(AO2="Cations",AM2="Grt"),8,
IF(AND(AO2="both",AM2="Grt"),8,
IF(AND(AO2="Anions",AM2="Mag"),BP2,
IF(AND(AO2="Cations",AM2="Mag"),3,
IF(AND(AO2="both",AM2="Mag"),3,
IF(AND(AO2="Cations",AM2="Spl"),3,
IF(AND(AO2="both",AM2="Spl"),3,
IF(AND(AO2="Anions",AM2="Ti-Cho"),BP2,
IF(AND(AO2="Cations",AM2="Ti-Cho"),7,
IF(AND(AO2="Anions",AM2="Ilv"),BP2,
IF(AND(AO2="Cations",AM2="Ilv"),6,
IF(AND(AO2="both",AM2="Ilv"),6,
IF(AND(AO2="Anions",AM2="Hem"),BP2,
IF(AND(AO2="Cations",AM2="Hem"),2,
IF(AND(AO2="both",AM2="Hem"),2,
IF(AND(AO2="Anions",AM2="Scp"),BP2,
IF(AND(AO2="Cations",AM2="Scp"),16,
IF(AND(AO2="both",AM2="Scp"),16,
IF(AND(AO2="Anions",AM2="nol"),BP2,
IF(AND(AO2="Cations",AM2="nol"),10,
IF(AND(AO2="both",AM2="nol"),10,
))))))))))))))))))))))))))))))))))))))))))))))))))))))))))))</f>
        <v>4</v>
      </c>
      <c r="AS2" s="51"/>
      <c r="AT2" s="50">
        <f>IF(AM2="Amph",2-BM2-BN2,
IF(AM2="",0,
IF(AM2="Mica",2-BM2-BN2,
IF(AM2="Ti-Chu",2-BM2-2*AX2-BN2,
IF(AM2="Ti-Cho",2-BM2-2*AX2-BN2,
IF(AM2="F-Ph",2-BM2-BN2,
IF(AM2="Pl",0,
IF(AM2="Dol",0,
IF(AM2="Cb",0,
IF(AM2="Br",2,
IF(AM2="Bal",40,
IF(AM2="Liz",4,
IF(AM2="Ep",1,
IF(AM2="Chum",2-BM2-BN2,
IF(AM2="Ol",0,
IF(AM2="Opx",0,
IF(AM2="Tlc",2,
IF(AM2="Tr",2,
IF(AM2="Atg",3.647,
IF(AM2="Chl",8,
IF(AM2="Cpx",0,
IF(AM2="Grt",0,
IF(AM2="Ilv",0.5,
IF(AM2="Mag",0,
IF(AM2="Spl",0,
IF(AM2="Hem",0,
IF(AM2="Scp",0,
IF(AM2="nol",2
))))))))))))))))))))))))))))</f>
        <v>0</v>
      </c>
      <c r="AU2" s="50">
        <f t="shared" ref="AU2" si="3">IF(AM2="Dol",2,
IF(AM2="Cb",1,
0))</f>
        <v>0</v>
      </c>
      <c r="AV2" s="12"/>
      <c r="AW2" s="11">
        <f t="shared" ref="AW2" si="4">IF(AO2="Anions",I2/60.084*AQ2/(I2*2/60.08+J2*2/79.88+K2*3/101.96+L2*3/151.99+AG2*3/159.69+AH2/71.85+N2/70.94+O2/40.3+P2/74.69+Q2/81.38+R2/56.08+S2/61.98+T2/94.2+U2*5/141.944522+V2*3/149.881+W2*3/80.06+X2/18.9984+Y2/35.453),
IF(AO2="Cations",I2/60.084*AR2/(I2/60.08+J2/79.88+K2*2/101.96+L2*2/151.99+AG2*2/159.69+AH2/71.85+N2/70.94+O2/40.3+P2/74.69+Q2/81.38+R2/56.08+S2*2/61.98+T2*2/94.2+U2*2/141.944522+V2*2/149.881+W2/80.06),
IF(AO2="both",I2/60.084*AR2/(I2/60.08+J2/79.88+K2*2/101.96+L2*2/151.99+M2/71.85+N2/70.94+O2/40.3+P2/74.69+Q2/81.38+R2/56.08+S2*2/61.98+T2*2/94.2+U2*2/141.944522+V2*2/149.881+W2/80.06+X2/18.9984+Y2/35.453),
)))</f>
        <v>1.7633324508966057</v>
      </c>
      <c r="AX2" s="11">
        <f t="shared" ref="AX2" si="5">IF(AO2="Anions",J2/79.88*AQ2/(I2*2/60.08+J2*2/79.88+K2*3/101.96+L2*3/151.99+AG2*3/159.69+AH2/71.85+N2/70.94+O2/40.3+P2/74.69+Q2/81.38+R2/56.08+S2/61.98+T2/94.2+U2*5/141.944522+V2*3/149.881+W2*3/80.06+X2/18.9984+Y2/35.453),
IF(AO2="Cations",J2/79.88*AR2/(I2/60.08+J2/79.88+K2*2/101.96+L2*2/151.99+AG2*2/159.69+AH2/71.85+N2/70.94+O2/40.3+P2/74.69+Q2/81.38+R2/56.08+S2*2/61.98+T2*2/94.2+U2*2/141.944522+V2*2/149.881+W2/80.06),
IF(AO2="both",J2/79.88*AR2/(I2/60.08+J2/79.88+K2*2/101.96+L2*2/151.99+M2/71.85+N2/70.94+O2/40.3+P2/74.69+Q2/81.38+R2/56.08+S2*2/61.98+T2*2/94.2+U2*2/141.944522+V2*2/149.881+W2/80.06+X2/18.9984+Y2/35.453),
)))</f>
        <v>7.7528759072652276E-3</v>
      </c>
      <c r="AY2" s="11">
        <f t="shared" ref="AY2" si="6">IF(AO2="Anions",2*K2/101.96*AQ2/(I2*2/60.08+J2*2/79.88+K2*3/101.96+L2*3/151.99+AG2*3/159.69+AH2/71.85+N2/70.94+O2/40.3+P2/74.69+Q2/81.38+R2/56.08+S2/61.98+T2/94.2+U2*5/141.944522+V2*3/149.881+W2*3/80.06+X2/18.9984+Y2/35.453),
IF(AO2="Cations",2*K2/101.96*AR2/(I2/60.08+J2/79.88+K2*2/101.96+L2*2/151.99+AG2*2/159.69+AH2/71.85+N2/70.94+O2/40.3+P2/74.69+Q2/81.38+R2/56.08+S2*2/61.98+T2*2/94.2+U2*2/141.944522+V2*2/149.881+W2/80.06),
IF(AO2="both",2*K2/101.96*AR2/(I2/60.08+J2/79.88+K2*2/101.96+L2*2/151.99+M2/71.85+N2/70.94+O2/40.3+P2/74.69+Q2/81.38+R2/56.08+S2*2/61.98+T2*2/94.2+U2*2/141.944522+V2*2/149.881+W2/80.06+X2/18.9984+Y2/35.453),
)))</f>
        <v>0.34572375487240048</v>
      </c>
      <c r="AZ2" s="11">
        <f t="shared" ref="AZ2" si="7">IF(AO2="Anions",2*L2/151.99*AQ2/(I2*2/60.08+J2*2/79.88+K2*3/101.96+L2*3/151.99+AG2*3/159.69+AH2/71.85+N2/70.94+O2/40.3+P2/74.69+Q2/81.38+R2/56.08+S2/61.98+T2/94.2+U2*5/141.944522+V2*3/149.881+W2*3/80.06+X2/18.9984+Y2/35.453),
IF(AO2="Cations",2*L2/151.99*AR2/(I2/60.08+J2/79.88+K2*2/101.96+L2*2/151.99+AG2*2/159.69+AH2/71.85+N2/70.94+O2/40.3+P2/74.69+Q2/81.38+R2/56.08+S2*2/61.98+T2*2/94.2+U2*2/141.944522+V2*2/149.881+W2/80.06),
IF(AO2="both",2*L2/151.99*AR2/(I2/60.08+J2/79.88+K2*2/101.96+L2*2/151.99+M2/71.85+N2/70.94+O2/40.3+P2/74.69+Q2/81.38+R2/56.08+S2*2/61.98+T2*2/94.2+U2*2/141.944522+V2*2/149.881+W2/80.06+X2/18.9984+Y2/35.453),
)))</f>
        <v>3.8948462443061756E-4</v>
      </c>
      <c r="BA2" s="11">
        <f t="shared" ref="BA2" si="8">IF(AO2="Anions",AH2/71.85*AQ2/(I2*2/60.08+J2*2/79.88+K2*3/101.96+L2*3/151.99+AG2*3/159.69+AH2/71.85+N2/70.94+O2/40.3+P2/74.69+Q2/81.38+R2/56.08+S2/61.98+T2/94.2+U2*5/141.944522+V2*3/149.881+W2*3/80.06+X2/18.9984+Y2/35.453),
IF(AO2="Cations",AH2/71.85*AR2/(I2/60.08+J2/79.88+K2*2/101.96+L2*2/151.99+AG2*2/159.69+AH2/71.85+N2/70.94+O2/40.3+P2/74.69+Q2/81.38+R2/56.08+S2*2/61.98+T2*2/94.2+U2*2/141.944522+V2*2/149.881+W2/80.06),
IF(AO2="both",M2/71.85*AR2/(I2/60.08+J2/79.88+K2*2/101.96+L2*2/151.99+M2/71.85+N2/70.94+O2/40.3+P2/74.69+Q2/81.38+R2/56.08+S2*2/61.98+T2*2/94.2+U2*2/141.944522+V2*2/149.881+W2/80.06+X2/18.9984+Y2/35.453)-BB2,
)))</f>
        <v>9.9023820035184118E-2</v>
      </c>
      <c r="BB2" s="11">
        <f t="shared" ref="BB2" si="9">IF(AO2="Anions",2*AG2/159.69*AQ2/(I2*2/60.08+J2*2/79.88+K2*3/101.96+L2*3/151.99+AG2*3/159.69+AH2/71.85+N2/70.94+O2/40.3+P2/74.69+Q2/81.38+R2/56.08+S2/61.98+T2/94.2+U2*5/141.944522+V2*3/149.881+W2*3/80.06+X2/18.9984+Y2/35.453),
IF(AO2="Cations",2*AG2/159.69*AR2/(I2/60.08+J2/79.88+K2*2/101.96+L2*2/151.99+AG2*2/159.69+AH2/71.85+N2/70.94+O2/40.3+P2/74.69+Q2/81.38+R2/56.08+S2*2/61.98+T2*2/94.2+U2*2/141.944522+V2*2/149.881+W2/80.06),
IF(AO2="both",2*AQ2-(AW2*4+AX2*4+AY2*3+AZ2*3+(M2/71.85*AR2/(I2/60.08+J2/79.88+K2*2/101.96+L2*2/151.99+M2/71.85+N2/70.94+O2/40.3+P2/74.69+Q2/81.38+R2/56.08+S2*2/61.98+T2*2/94.2+U2*2/141.944522+V2*2/149.881+W2/80.06)*2+BC2*2+BD2*2+BE2*2+BF2*2+BG2*2+BH2+BI2+BJ2*5+BK2*3+BL2*3+BM2+BN2)),
)))</f>
        <v>0.23269409449163447</v>
      </c>
      <c r="BC2" s="11">
        <f t="shared" ref="BC2" si="10">IF(AO2="Anions",N2/70.94*AQ2/(I2*2/60.08+J2*2/79.88+K2*3/101.96+L2*3/151.99+AG2*3/159.69+AH2/71.85+N2/70.94+O2/40.3+P2/74.69+Q2/81.38+R2/56.08+S2/61.98+T2/94.2+U2*5/141.944522+V2*3/149.881+W2*3/80.06+X2/18.9984+Y2/35.453),
IF(AO2="Cations",N2/70.94*AR2/(I2/60.08+J2/79.88+K2*2/101.96+L2*2/151.99+AG2*2/159.69+AH2/71.85+N2/70.94+O2/40.3+P2/74.69+Q2/81.38+R2/56.08+S2*2/61.98+T2*2/94.2+U2*2/141.944522+V2*2/149.881+W2/80.06),
IF(AO2="both",N2/70.94*AR2/(I2/60.08+J2/79.88+K2*2/101.96+L2*2/151.99+M2/71.85+N2/70.94+O2/40.3+P2/74.69+Q2/81.38+R2/56.08+S2*2/61.98+T2*2/94.2+U2*2/141.944522+V2*2/149.881+W2/80.06+X2/18.9984+Y2/35.453),
)))</f>
        <v>1.2292481820900257E-2</v>
      </c>
      <c r="BD2" s="11">
        <f t="shared" ref="BD2" si="11">IF(AO2="Anions",O2/40.3*AQ2/(I2*2/60.08+J2*2/79.88+K2*3/101.96+L2*3/151.99+AG2*3/159.69+AH2/71.85+N2/70.94+O2/40.3+P2/74.69+Q2/81.38+R2/56.08+S2/61.98+T2/94.2+U2*5/141.944522+V2*3/149.881+W2*3/80.06+X2/18.9984+Y2/35.453),
IF(AO2="Cations",O2/40.3*AR2/(I2/60.08+J2/79.88+K2*2/101.96+L2*2/151.99+AG2*2/159.69+AH2/71.85+N2/70.94+O2/40.3+P2/74.69+Q2/81.38+R2/56.08+S2*2/61.98+T2*2/94.2+U2*2/141.944522+V2*2/149.881+W2/80.06),
IF(AO2="both",O2/40.3*AR2/(I2/60.08+J2/79.88+K2*2/101.96+L2*2/151.99+M2/71.85+N2/70.94+O2/40.3+P2/74.69+Q2/81.38+R2/56.08+S2*2/61.98+T2*2/94.2+U2*2/141.944522+V2*2/149.881+W2/80.06+X2/18.9984+Y2/35.453),
)))</f>
        <v>0.60943531603453882</v>
      </c>
      <c r="BE2" s="11">
        <f t="shared" ref="BE2" si="12">IF(AO2="Anions",P2/74.69*AQ2/(I2*2/60.08+J2*2/79.88+K2*3/101.96+L2*3/151.99+AG2*3/159.69+AH2/71.85+N2/70.94+O2/40.3+P2/74.69+Q2/81.38+R2/56.08+S2/61.98+T2/94.2+U2*5/141.944522+V2*3/149.881+W2*3/80.06+X2/18.9984+Y2/35.453),
IF(AO2="Cations",P2/74.69*AR2/(I2/60.08+J2/79.88+K2*2/101.96+L2*2/151.99+AG2*2/159.69+AH2/71.85+N2/70.94+O2/40.3+P2/74.69+Q2/81.38+R2/56.08+S2*2/61.98+T2*2/94.2+U2*2/141.944522+V2*2/149.881+W2/80.06),
IF(AO2="both",P2/74.69*AR2/(I2/60.08+J2/79.88+K2*2/101.96+L2*2/151.99+M2/71.85+N2/70.94+O2/40.3+P2/74.69+Q2/81.38+R2/56.08+S2*2/61.98+T2*2/94.2+U2*2/141.944522+V2*2/149.881+W2/80.06+X2/18.9984+Y2/35.453),
)))</f>
        <v>0</v>
      </c>
      <c r="BF2" s="11">
        <f t="shared" ref="BF2" si="13">IF(AO2="Anions",Q2/81.38*AQ2/(I2*2/60.08+J2*2/79.88+K2*3/101.96+L2*3/151.99+AG2*3/159.69+AH2/71.85+N2/70.94+O2/40.3+P2/74.69+Q2/81.38+R2/56.08+S2/61.98+T2/94.2+U2*5/141.944522+V2*3/149.881+W2*3/80.06+X2/18.9984+Y2/35.453),
IF(AO2="Cations",Q2/81.38*AR2/(I2/60.08+J2/79.88+K2*2/101.96+L2*2/151.99+AG2*2/159.69+AH2/71.85+N2/70.94+O2/40.3+P2/74.69+Q2/81.38+R2/56.08+S2*2/61.98+T2*2/94.2+U2*2/141.944522+V2*2/149.881+W2/80.06),
IF(AO2="both",Q2/81.38*AR2/(I2/60.08+J2/79.88+K2*2/101.96+L2*2/151.99+M2/71.85+N2/70.94+O2/40.3+P2/74.69+Q2/81.38+R2/56.08+S2*2/61.98+T2*2/94.2+U2*2/141.944522+V2*2/149.881+W2/80.06+X2/18.9984+Y2/35.453),
)))</f>
        <v>0</v>
      </c>
      <c r="BG2" s="11">
        <f t="shared" ref="BG2" si="14">IF(AO2="Anions",R2/56.08*AQ2/(I2*2/60.08+J2*2/79.88+K2*3/101.96+L2*3/151.99+AG2*3/159.69+AH2/71.85+N2/70.94+O2/40.3+P2/74.69+Q2/81.38+R2/56.08+S2/61.98+T2/94.2+U2*5/141.944522+V2*3/149.881+W2*3/80.06+X2/18.9984+Y2/35.453),
IF(AO2="Cations",R2/56.08*AR2/(I2/60.08+J2/79.88+K2*2/101.96+L2*2/151.99+AG2*2/159.69+AH2/71.85+N2/70.94+O2/40.3+P2/74.69+Q2/81.38+R2/56.08+S2*2/61.98+T2*2/94.2+U2*2/141.944522+V2*2/149.881+W2/80.06),
IF(AO2="both",R2/56.08*AR2/(I2/60.08+J2/79.88+K2*2/101.96+L2*2/151.99+M2/71.85+N2/70.94+O2/40.3+P2/74.69+Q2/81.38+R2/56.08+S2*2/61.98+T2*2/94.2+U2*2/141.944522+V2*2/149.881+W2/80.06+X2/18.9984+Y2/35.453),
)))</f>
        <v>0.80708358348517173</v>
      </c>
      <c r="BH2" s="11">
        <f t="shared" ref="BH2" si="15">IF(AO2="Anions",2*S2/61.98*AQ2/(I2*2/60.08+J2*2/79.88+K2*3/101.96+L2*3/151.99+AG2*3/159.69+AH2/71.85+N2/70.94+O2/40.3+P2/74.69+Q2/81.38+R2/56.08+S2/61.98+T2/94.2+U2*5/141.944522+V2*3/149.881+W2*3/80.06+X2/18.9984+Y2/35.453),
IF(AO2="Cations",2*S2/61.98*AR2/(I2/60.08+J2/79.88+K2*2/101.96+L2*2/151.99+AG2*2/159.69+AH2/71.85+N2/70.94+O2/40.3+P2/74.69+Q2/81.38+R2/56.08+S2*2/61.98+T2*2/94.2+U2*2/141.944522+V2*2/149.881+W2/80.06),
IF(AO2="both",2*S2/61.98*AR2/(I2/60.08+J2/79.88+K2*2/101.96+L2*2/151.99+M2/71.85+N2/70.94+O2/40.3+P2/74.69+Q2/81.38+R2/56.08+S2*2/61.98+T2*2/94.2+U2*2/141.944522+V2*2/149.881+W2/80.06+X2/18.9984+Y2/35.453),
)))</f>
        <v>0.12093172268799733</v>
      </c>
      <c r="BI2" s="11">
        <f t="shared" ref="BI2" si="16">IF(AO2="Anions",2*T2/94.2*AQ2/(I2*2/60.08+J2*2/79.88+K2*3/101.96+L2*3/151.99+AG2*3/159.69+AH2/71.85+N2/70.94+O2/40.3+P2/74.69+Q2/81.38+R2/56.08+S2/61.98+T2/94.2+U2*5/141.944522+V2*3/149.881+W2*3/80.06+X2/18.9984+Y2/35.453),
IF(AO2="Cations",2*T2/94.2*AR2/(I2/60.08+J2/79.88+K2*2/101.96+L2*2/151.99+AG2*2/159.69+AH2/71.85+N2/70.94+O2/40.3+P2/74.69+Q2/81.38+R2/56.08+S2*2/61.98+T2*2/94.2+U2*2/141.944522+V2*2/149.881+W2/80.06),
IF(AO2="both",2*T2/94.2*AR2/(I2/60.08+J2/79.88+K2*2/101.96+L2*2/151.99+M2/71.85+N2/70.94+O2/40.3+P2/74.69+Q2/81.38+R2/56.08+S2*2/61.98+T2*2/94.2+U2*2/141.944522+V2*2/149.881+W2/80.06+X2/18.9984+Y2/35.453),
)))</f>
        <v>8.7012887898887167E-4</v>
      </c>
      <c r="BJ2" s="11">
        <f t="shared" ref="BJ2" si="17">IF(AO2="Anions",U2*2/141.944522*AQ2/(I2*2/60.08+J2*2/79.88+K2*3/101.96+L2*3/151.99+AG2*3/159.69+AH2/71.85+N2/70.94+O2/40.3+P2/74.69+Q2/81.38+R2/56.08+S2/61.98+T2/94.2+U2*5/141.944522+V2*3/149.881+W2*3/80.06+X2/18.9984+Y2/35.453),
IF(AO2="Cations",U2*2/141.944522*AR2/(I2/60.08+J2/79.88+K2*2/101.96+L2*2/151.99+AG2*2/159.69+AH2/71.85+N2/70.94+O2/40.3+P2/74.69+Q2/81.38+R2/56.08+S2*2/61.98+T2*2/94.2+U2*2/141.944522+V2*2/149.881+W2/80.06),
IF(AO2="both",U2*2/141.944522*AR2/(I2/60.08+J2/79.88+K2*2/101.96+L2*2/151.99+M2/71.85+N2/70.94+O2/40.3+P2/74.69+Q2/81.38+R2/56.08+S2*2/61.98+T2*2/94.2+U2*2/141.944522+V2*2/149.881+W2/80.06+X2/18.9984+Y2/35.453),
)))</f>
        <v>3.5288730010864889E-4</v>
      </c>
      <c r="BK2" s="11">
        <f t="shared" ref="BK2" si="18">IF(AO2="Anions",V2*2/149.881*AQ2/(I2*2/60.08+J2*2/79.88+K2*3/101.96+L2*3/151.99+AG2*3/159.69+AH2/71.85+N2/70.94+O2/40.3+P2/74.69+Q2/81.38+R2/56.08+S2/61.98+T2/94.2+U2*5/141.944522+V2*3/149.881+W2*3/80.06+X2/18.9984+Y2/35.453),
IF(AO2="Cations",V2*2/149.881*AR2/(I2/60.08+J2/79.88+K2*2/101.96+L2*2/151.99+AG2*2/159.69+AH2/71.85+N2/70.94+O2/40.3+P2/74.69+Q2/81.38+R2/56.08+S2*2/61.98+T2*2/94.2+U2*2/141.944522+V2*2/149.881+W2/80.06),
IF(AO2="both",V2*2/149.881*AR2/(I2/60.08+J2/79.88+K2*2/101.96+L2*2/151.99+M2/71.85+N2/70.94+O2/40.3+P2/74.69+Q2/81.38+R2/56.08+S2*2/61.98+T2*2/94.2+U2*2/141.944522+V2*2/149.881+W2/80.06+X2/18.9984+Y2/35.453),
)))</f>
        <v>0</v>
      </c>
      <c r="BL2" s="11">
        <f t="shared" ref="BL2" si="19">IF(AO2="Anions",W2/80.06*AQ2/(I2*2/60.08+J2*2/79.88+K2*3/101.96+L2*3/151.99+AG2*3/159.69+AH2/71.85+N2/70.94+O2/40.3+P2/74.69+Q2/81.38+R2/56.08+S2/61.98+T2/94.2+U2*5/141.944522+V2*3/149.881+W2*3/80.06+X2/18.9984+Y2/35.453),
IF(AO2="Cations",W2/80.06*AR2/(I2/60.08+J2/79.88+K2*2/101.96+L2*2/151.99+AG2*2/159.69+AH2/71.85+N2/70.94+O2/40.3+P2/74.69+Q2/81.38+R2/56.08+S2*2/61.98+T2*2/94.2+U2*2/141.944522+V2*2/149.881+W2/80.06),
IF(AO2="both",W2/80.06*AR2/(I2/60.08+J2/79.88+K2*2/101.96+L2*2/151.99+M2/71.85+N2/70.94+O2/40.3+P2/74.69+Q2/81.38+R2/56.08+S2*2/61.98+T2*2/94.2+U2*2/141.944522+V2*2/149.881+W2/80.06+X2/18.9984+Y2/35.453),
)))</f>
        <v>0</v>
      </c>
      <c r="BM2" s="34">
        <f t="shared" ref="BM2" si="20">IF(AO2="Anions",X2/18.9984*AQ2/(I2*2/60.08+J2*2/79.88+K2*3/101.96+L2*3/151.99+AG2*3/159.69+AH2/71.85+N2/70.94+O2/40.3+P2/74.69+Q2/81.38+R2/56.08+S2/61.98+T2/94.2+U2*5/141.944522+V2*3/149.881+W2*3/80.06+X2/18.9984+Y2/35.453),
IF(AO2="Cations",X2/18.9984*AR2/(I2/60.08+J2/79.88+K2*2/101.96+L2*2/151.99+AG2*2/159.69+AH2/71.85+N2/70.94+O2/40.3+P2/74.69+Q2/81.38+R2/56.08+S2*2/61.98+T2*2/94.2+U2*2/141.944522+V2*2/149.881+W2/80.06),
IF(AO2="both",X2/18.9984*AR2/(I2/60.08+J2/79.88+K2*2/101.96+L2*2/151.99+M2/71.85+N2/70.94+O2/40.3+P2/74.69+Q2/81.38+R2/56.08+S2*2/61.98+T2*2/94.2+U2*2/141.944522+V2*2/149.881+W2/80.06+X2/18.9984+Y2/35.453),
)))</f>
        <v>0</v>
      </c>
      <c r="BN2" s="11">
        <f t="shared" ref="BN2" si="21">IF(AO2="Anions",Y2/35.453*AQ2/(I2*2/60.08+J2*2/79.88+K2*3/101.96+L2*3/151.99+AG2*3/159.69+AH2/71.85+N2/70.94+O2/40.3+P2/74.69+Q2/81.38+R2/56.08+S2/61.98+T2/94.2+U2*5/141.944522+V2*3/149.881+W2*3/80.06+X2/18.9984+Y2/35.453),
IF(AO2="Cations",Y2/35.453*AR2/(I2/60.08+J2/79.88+K2*2/101.96+L2*2/151.99+AG2*2/159.69+AH2/71.85+N2/70.94+O2/40.3+P2/74.69+Q2/81.38+R2/56.08+S2*2/61.98+T2*2/94.2+U2*2/141.944522+V2*2/149.881+W2/80.06),
IF(AO2="both",Y2/35.453*AR2/(I2/60.08+J2/79.88+K2*2/101.96+L2*2/151.99+M2/71.85+N2/70.94+O2/40.3+P2/74.69+Q2/81.38+R2/56.08+S2*2/61.98+T2*2/94.2+U2*2/141.944522+V2*2/149.881+W2/80.06+X2/18.9984+Y2/35.453),
)))</f>
        <v>0</v>
      </c>
      <c r="BO2" s="11"/>
      <c r="BP2" s="12">
        <f>SUM(AW2:BK2)</f>
        <v>3.999882601035226</v>
      </c>
      <c r="BQ2" s="12">
        <f>AW2*2+AX2*2+AY2*3/2+AZ2*3/2+BA2+BB2*3/2+BC2+BD2+BE2+BF2+BG2+BH2/2+BI2/2+BM2+BN2+BK2*3/2</f>
        <v>5.9991177817497281</v>
      </c>
    </row>
    <row r="3" spans="1:69" ht="16" customHeight="1">
      <c r="A3" s="18">
        <v>2</v>
      </c>
      <c r="B3" s="17" t="s">
        <v>35</v>
      </c>
      <c r="C3" s="17" t="s">
        <v>464</v>
      </c>
      <c r="D3" s="17" t="s">
        <v>467</v>
      </c>
      <c r="E3" s="18">
        <v>14</v>
      </c>
      <c r="F3" s="18">
        <v>900</v>
      </c>
      <c r="G3" s="18">
        <v>7</v>
      </c>
      <c r="I3" s="20">
        <v>48.918999999999997</v>
      </c>
      <c r="J3" s="20">
        <v>0.24</v>
      </c>
      <c r="K3" s="20">
        <v>7.4089999999999998</v>
      </c>
      <c r="M3" s="20">
        <v>9.6270000000000007</v>
      </c>
      <c r="N3" s="20">
        <v>0.371</v>
      </c>
      <c r="O3" s="20">
        <v>10.85</v>
      </c>
      <c r="R3" s="20">
        <v>19.905000000000001</v>
      </c>
      <c r="S3" s="20">
        <v>1.792</v>
      </c>
      <c r="U3" s="20">
        <v>5.0000000000000001E-3</v>
      </c>
      <c r="AB3" s="24">
        <f t="shared" si="0"/>
        <v>0</v>
      </c>
      <c r="AC3" s="24">
        <f t="shared" si="1"/>
        <v>0</v>
      </c>
      <c r="AD3" s="24">
        <f t="shared" ref="AD3:AD4" si="22">SUM(I3:Z3)</f>
        <v>99.117999999999981</v>
      </c>
      <c r="AF3" s="41">
        <f t="shared" ref="AF3:AF4" si="23">IF(AND(Z3&lt;&gt;""),BB3/(BB3+BA3),
IF(AND(AM3="Mag",AO3&lt;&gt;"both"),2/3,
IF(AND(AM3="Ep",AO3&lt;&gt;"both"),1,
IF(AO3="both",BB3/(BB3+BA3),
0
))))</f>
        <v>0.46181921026270661</v>
      </c>
      <c r="AG3" s="21">
        <f t="shared" ref="AG3:AG4" si="24">IF(AND(Z3&lt;&gt;""),2*Z3/31.999*159.69,
159.69*(M3/71.85)*(AF3)/2)</f>
        <v>4.9406480623195588</v>
      </c>
      <c r="AH3" s="21">
        <f t="shared" ref="AH3:AH4" si="25">IF(AND(Z3&lt;&gt;""),(M3/71.844-4*Z3/31.999)*71.844,
71.85*(M3/71.85)*(1-AF3))</f>
        <v>5.1810664628009242</v>
      </c>
      <c r="AI3" s="20">
        <f t="shared" ref="AI3:AI4" si="26">IF(AM3&lt;&gt;"",18.015/2*AT3/(AQ3/(I3*2/60.08+J3*2/79.88+K3*3/101.96+L3*3/151.99+AG3*3/159.69+AH3/71.85+N3/70.94+O3/40.3+P3/74.69+Q3/81.38+R3/56.08+S3/61.98+T3/94.2+U3*5/283.889+V3*3/149.881+W3/80.06+X3/18.9984)),"")</f>
        <v>0</v>
      </c>
      <c r="AJ3" s="20"/>
      <c r="AK3" s="85">
        <f t="shared" ref="AK3:AK4" si="27">IF(AM3&lt;&gt;"",SUM(O3,I3,K3,N3,AH3,AG3,P3,Q3,R3,J3,L3,AI3,AJ3,S3,T3,X3,Y3,AB3,AC3,U3,V3),"")</f>
        <v>99.612714525120467</v>
      </c>
      <c r="AL3" s="85"/>
      <c r="AM3" s="45" t="s">
        <v>35</v>
      </c>
      <c r="AN3" s="89"/>
      <c r="AO3" s="84" t="s">
        <v>468</v>
      </c>
      <c r="AP3" s="89"/>
      <c r="AQ3" s="50">
        <f t="shared" ref="AQ3:AQ4" si="28">IF(AND(AO3="Anions",AM3="Amph"),23,
IF(AND(AO3="Cations",AM3="Amph"),BQ3,
IF(AND(AO3="Anions",AM3="Mica"),11,
IF(AND(AO3="Cations",AM3="Mica"),BQ3,
IF(AND(AO3="Anions",AM3="Ti-Chu"),17.5,
IF(AND(AO3="Cations",AM3="Ti-Chu"),BQ3,
IF(AND(AO3="Anions",AM3="F-Ph"),11.5,
IF(AND(AO3="Cations",AM3="F-Ph"),BQ3,
IF(AND(AO3="Anions",AM3="Pl"),8,
IF(AND(AO3="Cations",AM3="Pl"),BQ3,
IF(AND(AO3="Anions",AM3="Dol"),2,
IF(AND(AO3="Cations",AM3="Dol"),BQ3,
IF(AND(AO3="Anions",AM3="Cb"),1,
IF(AND(AO3="Cations",AM3="Cb"),BQ3,
IF(AND(AO3="Anions",AM3="Br"),1,
IF(AND(AO3="Cations",AM3="Br"),BQ3,
IF(AND(AO3="Anions",AM3="Liz"),7,
IF(AND(AO3="Cations",AM3="Liz"),BQ3,
IF(AND(AO3="Anions",AM3="Ep"),12.5,
IF(AND(AO3="Cations",AM3="Ep"),BQ3,
IF(AND(AO3="Anions",AM3="Chum"),17,
IF(AND(AO3="Cations",AM3="Chum"),BQ3,
IF(AND(AO3="Anions",AM3="Ol"),4,
IF(AND(AO3="Cations",AM3="Ol"),BQ3,
IF(AND(AO3="Anions",AM3="Opx"),6,
IF(AND(AO3="Cations",AM3="Opx"),BQ3,
IF(AND(AO3="both",AM3="Opx"),6,
IF(AND(AO3="Anions",AM3="Tlc"),11,
IF(AND(AO3="Cations",AM3="Tlc"),BQ3,
IF(AND(AO3="Anions",AM3="Tr"),23,
IF(AND(AO3="Cations",AM3="Tr"),BQ3,
IF(AND(AO3="Anions",AM3="Atg"),6.824,
IF(AND(AO3="Cations",AM3="Atg"),BQ3,
IF(AND(AO3="Anions",AM3="Chl"),14,
IF(AND(AO3="Cations",AM3="Chl"),BQ3,
IF(AND(AO3="Anions",AM3="Cpx"),6,
IF(AND(AO3="Cations",AM3="Cpx"),BQ3,
IF(AND(AO3="both",AM3="Cpx"),6,
IF(AND(AO3="Anions",AM3="Grt"),12,
IF(AND(AO3="Cations",AM3="Grt"),BQ3,
IF(AND(AO3="both",AM3="Grt"),12,
IF(AND(AO3="Anions",AM3="Mag"),4,
IF(AND(AO3="Cations",AM3="Mag"),BQ3,
IF(AND(AO3="both",AM3="Mag"),4,
IF(AND(AO3="Cations",AM3="Spl"),BQ3,
IF(AND(AO3="both",AM3="Spl"),4,
IF(AND(AO3="Anions",AM3="Ti-Cho"),9.5,
IF(AND(AO3="Cations",AM3="Ti-Cho"),BQ3,
IF(AND(AO3="Anions",AM3="Ilv"),8.5,
IF(AND(AO3="Cations",AM3="Ilv"),BQ3,
IF(AND(AO3="both",AM3="Ilv"),8.5,
IF(AND(AO3="Anions",AM3="Hem"),3,
IF(AND(AO3="Cations",AM3="Hem"),BQ3,
IF(AND(AO3="both",AM3="Hem"),3,
IF(AND(AO3="Anions",AM3="melt"),10,
IF(AND(AO3="both",AM3="Scp"),25.5,
IF(AND(AO3="Anions",AM3="Scp"),25.5,
IF(AND(AO3="Cations",AM3="Scp"),BQ3,
IF(AND(AO3="both",AM3="nol"),15,
IF(AND(AO3="Anions",AM3="nol"),15,
IF(AND(AO3="Cations",AM3="nol"),BQ3,
)))))))))))))))))))))))))))))))))))))))))))))))))))))))))))))</f>
        <v>6</v>
      </c>
      <c r="AR3" s="50">
        <f t="shared" ref="AR3:AR4" si="29">IF(AND(AO3="Anions",AM3="Amph"),BP3,
IF(AND(AO3="Cations",AM3="Amph"),15,
IF(AND(AO3="Anions",AM3="Mica"),BP3,
IF(AND(AO3="Cations",AM3="Mica"),7,
IF(AND(AO3="Anions",AM3="Ti-Chu"),BP3,
IF(AND(AO3="Cations",AM3="Ti-Chu"),13,
IF(AND(AO3="Anions",AM3="F-Ph"),BP3,
IF(AND(AO3="Cations",AM3="F-Ph"),8,
IF(AND(AO3="Anions",AM3="Pl"),BP3,
IF(AND(AO3="Cations",AM3="Pl"),5,
IF(AND(AO3="Anions",AM3="Dol"),BP3,
IF(AND(AO3="Cations",AM3="Dol"),2,
IF(AND(AO3="Anions",AM3="Cb"),BP3,
IF(AND(AO3="Cations",AM3="Cb"),1,
IF(AND(AO3="Anions",AM3="Br"),BP3,
IF(AND(AO3="Cations",AM3="Br"),1,
IF(AND(AO3="Anions",AM3="Liz"),BP3,
IF(AND(AO3="Cations",AM3="Liz"),5,
IF(AND(AO3="Anions",AM3="Ep"),BP3,
IF(AND(AO3="Cations",AM3="Ep"),8,
IF(AND(AO3="Anions",AM3="Chum"),BP3,
IF(AND(AO3="Cations",AM3="Chum"),13,
IF(AND(AO3="Anions",AM3="Ol"),BP3,
IF(AND(AO3="Cations",AM3="Ol"),3,
IF(AND(AO3="Anions",AM3="Opx"),BP3,
IF(AND(AO3="Cations",AM3="Opx"),4,
IF(AND(AO3="both",AM3="Opx"),4,
IF(AND(AO3="Anions",AM3="Tlc"),BP3,
IF(AND(AO3="Cations",AM3="Tlc"),7,
IF(AND(AO3="Anions",AM3="Tr"),BP3,
IF(AND(AO3="Cations",AM3="Tr"),15,
IF(AND(AO3="Anions",AM3="Atg"),BP3,
IF(AND(AO3="Cations",AM3="Atg"),4.825,
IF(AND(AO3="Anions",AM3="Chl"),BP3,
IF(AND(AO3="Cations",AM3="Chl"),10,
IF(AND(AO3="Anions",AM3="Cpx"),BP3,
IF(AND(AO3="Cations",AM3="Cpx"),4,
IF(AND(AO3="both",AM3="Cpx"),4,
IF(AND(AO3="Anions",AM3="Grt"),BP3,
IF(AND(AO3="Cations",AM3="Grt"),8,
IF(AND(AO3="both",AM3="Grt"),8,
IF(AND(AO3="Anions",AM3="Mag"),BP3,
IF(AND(AO3="Cations",AM3="Mag"),3,
IF(AND(AO3="both",AM3="Mag"),3,
IF(AND(AO3="Cations",AM3="Spl"),3,
IF(AND(AO3="both",AM3="Spl"),3,
IF(AND(AO3="Anions",AM3="Ti-Cho"),BP3,
IF(AND(AO3="Cations",AM3="Ti-Cho"),7,
IF(AND(AO3="Anions",AM3="Ilv"),BP3,
IF(AND(AO3="Cations",AM3="Ilv"),6,
IF(AND(AO3="both",AM3="Ilv"),6,
IF(AND(AO3="Anions",AM3="Hem"),BP3,
IF(AND(AO3="Cations",AM3="Hem"),2,
IF(AND(AO3="both",AM3="Hem"),2,
IF(AND(AO3="Anions",AM3="Scp"),BP3,
IF(AND(AO3="Cations",AM3="Scp"),16,
IF(AND(AO3="both",AM3="Scp"),16,
IF(AND(AO3="Anions",AM3="nol"),BP3,
IF(AND(AO3="Cations",AM3="nol"),10,
IF(AND(AO3="both",AM3="nol"),10,
))))))))))))))))))))))))))))))))))))))))))))))))))))))))))))</f>
        <v>4</v>
      </c>
      <c r="AS3" s="51"/>
      <c r="AT3" s="50">
        <f t="shared" ref="AT3:AT4" si="30">IF(AM3="Amph",2-BM3-BN3,
IF(AM3="",0,
IF(AM3="Mica",2-BM3-BN3,
IF(AM3="Ti-Chu",2-BM3-2*AX3-BN3,
IF(AM3="Ti-Cho",2-BM3-2*AX3-BN3,
IF(AM3="F-Ph",2-BM3-BN3,
IF(AM3="Pl",0,
IF(AM3="Dol",0,
IF(AM3="Cb",0,
IF(AM3="Br",2,
IF(AM3="Bal",40,
IF(AM3="Liz",4,
IF(AM3="Ep",1,
IF(AM3="Chum",2-BM3-BN3,
IF(AM3="Ol",0,
IF(AM3="Opx",0,
IF(AM3="Tlc",2,
IF(AM3="Tr",2,
IF(AM3="Atg",3.647,
IF(AM3="Chl",8,
IF(AM3="Cpx",0,
IF(AM3="Grt",0,
IF(AM3="Ilv",0.5,
IF(AM3="Mag",0,
IF(AM3="Spl",0,
IF(AM3="Hem",0,
IF(AM3="Scp",0,
IF(AM3="nol",2
))))))))))))))))))))))))))))</f>
        <v>0</v>
      </c>
      <c r="AU3" s="50">
        <f t="shared" ref="AU3:AU4" si="31">IF(AM3="Dol",2,
IF(AM3="Cb",1,
0))</f>
        <v>0</v>
      </c>
      <c r="AV3" s="12"/>
      <c r="AW3" s="11">
        <f t="shared" ref="AW3:AW4" si="32">IF(AO3="Anions",I3/60.084*AQ3/(I3*2/60.08+J3*2/79.88+K3*3/101.96+L3*3/151.99+AG3*3/159.69+AH3/71.85+N3/70.94+O3/40.3+P3/74.69+Q3/81.38+R3/56.08+S3/61.98+T3/94.2+U3*5/141.944522+V3*3/149.881+W3*3/80.06+X3/18.9984+Y3/35.453),
IF(AO3="Cations",I3/60.084*AR3/(I3/60.08+J3/79.88+K3*2/101.96+L3*2/151.99+AG3*2/159.69+AH3/71.85+N3/70.94+O3/40.3+P3/74.69+Q3/81.38+R3/56.08+S3*2/61.98+T3*2/94.2+U3*2/141.944522+V3*2/149.881+W3/80.06),
IF(AO3="both",I3/60.084*AR3/(I3/60.08+J3/79.88+K3*2/101.96+L3*2/151.99+M3/71.85+N3/70.94+O3/40.3+P3/74.69+Q3/81.38+R3/56.08+S3*2/61.98+T3*2/94.2+U3*2/141.944522+V3*2/149.881+W3/80.06+X3/18.9984+Y3/35.453),
)))</f>
        <v>1.8256620899334086</v>
      </c>
      <c r="AX3" s="11">
        <f t="shared" ref="AX3:AX4" si="33">IF(AO3="Anions",J3/79.88*AQ3/(I3*2/60.08+J3*2/79.88+K3*3/101.96+L3*3/151.99+AG3*3/159.69+AH3/71.85+N3/70.94+O3/40.3+P3/74.69+Q3/81.38+R3/56.08+S3/61.98+T3/94.2+U3*5/141.944522+V3*3/149.881+W3*3/80.06+X3/18.9984+Y3/35.453),
IF(AO3="Cations",J3/79.88*AR3/(I3/60.08+J3/79.88+K3*2/101.96+L3*2/151.99+AG3*2/159.69+AH3/71.85+N3/70.94+O3/40.3+P3/74.69+Q3/81.38+R3/56.08+S3*2/61.98+T3*2/94.2+U3*2/141.944522+V3*2/149.881+W3/80.06),
IF(AO3="both",J3/79.88*AR3/(I3/60.08+J3/79.88+K3*2/101.96+L3*2/151.99+M3/71.85+N3/70.94+O3/40.3+P3/74.69+Q3/81.38+R3/56.08+S3*2/61.98+T3*2/94.2+U3*2/141.944522+V3*2/149.881+W3/80.06+X3/18.9984+Y3/35.453),
)))</f>
        <v>6.7371287933080523E-3</v>
      </c>
      <c r="AY3" s="11">
        <f t="shared" ref="AY3:AY4" si="34">IF(AO3="Anions",2*K3/101.96*AQ3/(I3*2/60.08+J3*2/79.88+K3*3/101.96+L3*3/151.99+AG3*3/159.69+AH3/71.85+N3/70.94+O3/40.3+P3/74.69+Q3/81.38+R3/56.08+S3/61.98+T3/94.2+U3*5/141.944522+V3*3/149.881+W3*3/80.06+X3/18.9984+Y3/35.453),
IF(AO3="Cations",2*K3/101.96*AR3/(I3/60.08+J3/79.88+K3*2/101.96+L3*2/151.99+AG3*2/159.69+AH3/71.85+N3/70.94+O3/40.3+P3/74.69+Q3/81.38+R3/56.08+S3*2/61.98+T3*2/94.2+U3*2/141.944522+V3*2/149.881+W3/80.06),
IF(AO3="both",2*K3/101.96*AR3/(I3/60.08+J3/79.88+K3*2/101.96+L3*2/151.99+M3/71.85+N3/70.94+O3/40.3+P3/74.69+Q3/81.38+R3/56.08+S3*2/61.98+T3*2/94.2+U3*2/141.944522+V3*2/149.881+W3/80.06+X3/18.9984+Y3/35.453),
)))</f>
        <v>0.32588279160961764</v>
      </c>
      <c r="AZ3" s="11">
        <f t="shared" ref="AZ3:AZ4" si="35">IF(AO3="Anions",2*L3/151.99*AQ3/(I3*2/60.08+J3*2/79.88+K3*3/101.96+L3*3/151.99+AG3*3/159.69+AH3/71.85+N3/70.94+O3/40.3+P3/74.69+Q3/81.38+R3/56.08+S3/61.98+T3/94.2+U3*5/141.944522+V3*3/149.881+W3*3/80.06+X3/18.9984+Y3/35.453),
IF(AO3="Cations",2*L3/151.99*AR3/(I3/60.08+J3/79.88+K3*2/101.96+L3*2/151.99+AG3*2/159.69+AH3/71.85+N3/70.94+O3/40.3+P3/74.69+Q3/81.38+R3/56.08+S3*2/61.98+T3*2/94.2+U3*2/141.944522+V3*2/149.881+W3/80.06),
IF(AO3="both",2*L3/151.99*AR3/(I3/60.08+J3/79.88+K3*2/101.96+L3*2/151.99+M3/71.85+N3/70.94+O3/40.3+P3/74.69+Q3/81.38+R3/56.08+S3*2/61.98+T3*2/94.2+U3*2/141.944522+V3*2/149.881+W3/80.06+X3/18.9984+Y3/35.453),
)))</f>
        <v>0</v>
      </c>
      <c r="BA3" s="11">
        <f t="shared" ref="BA3:BA4" si="36">IF(AO3="Anions",AH3/71.85*AQ3/(I3*2/60.08+J3*2/79.88+K3*3/101.96+L3*3/151.99+AG3*3/159.69+AH3/71.85+N3/70.94+O3/40.3+P3/74.69+Q3/81.38+R3/56.08+S3/61.98+T3/94.2+U3*5/141.944522+V3*3/149.881+W3*3/80.06+X3/18.9984+Y3/35.453),
IF(AO3="Cations",AH3/71.85*AR3/(I3/60.08+J3/79.88+K3*2/101.96+L3*2/151.99+AG3*2/159.69+AH3/71.85+N3/70.94+O3/40.3+P3/74.69+Q3/81.38+R3/56.08+S3*2/61.98+T3*2/94.2+U3*2/141.944522+V3*2/149.881+W3/80.06),
IF(AO3="both",M3/71.85*AR3/(I3/60.08+J3/79.88+K3*2/101.96+L3*2/151.99+M3/71.85+N3/70.94+O3/40.3+P3/74.69+Q3/81.38+R3/56.08+S3*2/61.98+T3*2/94.2+U3*2/141.944522+V3*2/149.881+W3/80.06+X3/18.9984+Y3/35.453)-BB3,
)))</f>
        <v>0.16169405603576403</v>
      </c>
      <c r="BB3" s="11">
        <f t="shared" ref="BB3:BB4" si="37">IF(AO3="Anions",2*AG3/159.69*AQ3/(I3*2/60.08+J3*2/79.88+K3*3/101.96+L3*3/151.99+AG3*3/159.69+AH3/71.85+N3/70.94+O3/40.3+P3/74.69+Q3/81.38+R3/56.08+S3/61.98+T3/94.2+U3*5/141.944522+V3*3/149.881+W3*3/80.06+X3/18.9984+Y3/35.453),
IF(AO3="Cations",2*AG3/159.69*AR3/(I3/60.08+J3/79.88+K3*2/101.96+L3*2/151.99+AG3*2/159.69+AH3/71.85+N3/70.94+O3/40.3+P3/74.69+Q3/81.38+R3/56.08+S3*2/61.98+T3*2/94.2+U3*2/141.944522+V3*2/149.881+W3/80.06),
IF(AO3="both",2*AQ3-(AW3*4+AX3*4+AY3*3+AZ3*3+(M3/71.85*AR3/(I3/60.08+J3/79.88+K3*2/101.96+L3*2/151.99+M3/71.85+N3/70.94+O3/40.3+P3/74.69+Q3/81.38+R3/56.08+S3*2/61.98+T3*2/94.2+U3*2/141.944522+V3*2/149.881+W3/80.06)*2+BC3*2+BD3*2+BE3*2+BF3*2+BG3*2+BH3+BI3+BJ3*5+BK3*3+BL3*3+BM3+BN3)),
)))</f>
        <v>0.13875155465705369</v>
      </c>
      <c r="BC3" s="11">
        <f t="shared" ref="BC3:BC4" si="38">IF(AO3="Anions",N3/70.94*AQ3/(I3*2/60.08+J3*2/79.88+K3*3/101.96+L3*3/151.99+AG3*3/159.69+AH3/71.85+N3/70.94+O3/40.3+P3/74.69+Q3/81.38+R3/56.08+S3/61.98+T3/94.2+U3*5/141.944522+V3*3/149.881+W3*3/80.06+X3/18.9984+Y3/35.453),
IF(AO3="Cations",N3/70.94*AR3/(I3/60.08+J3/79.88+K3*2/101.96+L3*2/151.99+AG3*2/159.69+AH3/71.85+N3/70.94+O3/40.3+P3/74.69+Q3/81.38+R3/56.08+S3*2/61.98+T3*2/94.2+U3*2/141.944522+V3*2/149.881+W3/80.06),
IF(AO3="both",N3/70.94*AR3/(I3/60.08+J3/79.88+K3*2/101.96+L3*2/151.99+M3/71.85+N3/70.94+O3/40.3+P3/74.69+Q3/81.38+R3/56.08+S3*2/61.98+T3*2/94.2+U3*2/141.944522+V3*2/149.881+W3/80.06+X3/18.9984+Y3/35.453),
)))</f>
        <v>1.172693153906499E-2</v>
      </c>
      <c r="BD3" s="11">
        <f t="shared" ref="BD3:BD4" si="39">IF(AO3="Anions",O3/40.3*AQ3/(I3*2/60.08+J3*2/79.88+K3*3/101.96+L3*3/151.99+AG3*3/159.69+AH3/71.85+N3/70.94+O3/40.3+P3/74.69+Q3/81.38+R3/56.08+S3/61.98+T3/94.2+U3*5/141.944522+V3*3/149.881+W3*3/80.06+X3/18.9984+Y3/35.453),
IF(AO3="Cations",O3/40.3*AR3/(I3/60.08+J3/79.88+K3*2/101.96+L3*2/151.99+AG3*2/159.69+AH3/71.85+N3/70.94+O3/40.3+P3/74.69+Q3/81.38+R3/56.08+S3*2/61.98+T3*2/94.2+U3*2/141.944522+V3*2/149.881+W3/80.06),
IF(AO3="both",O3/40.3*AR3/(I3/60.08+J3/79.88+K3*2/101.96+L3*2/151.99+M3/71.85+N3/70.94+O3/40.3+P3/74.69+Q3/81.38+R3/56.08+S3*2/61.98+T3*2/94.2+U3*2/141.944522+V3*2/149.881+W3/80.06+X3/18.9984+Y3/35.453),
)))</f>
        <v>0.60370720129264899</v>
      </c>
      <c r="BE3" s="11">
        <f t="shared" ref="BE3:BE4" si="40">IF(AO3="Anions",P3/74.69*AQ3/(I3*2/60.08+J3*2/79.88+K3*3/101.96+L3*3/151.99+AG3*3/159.69+AH3/71.85+N3/70.94+O3/40.3+P3/74.69+Q3/81.38+R3/56.08+S3/61.98+T3/94.2+U3*5/141.944522+V3*3/149.881+W3*3/80.06+X3/18.9984+Y3/35.453),
IF(AO3="Cations",P3/74.69*AR3/(I3/60.08+J3/79.88+K3*2/101.96+L3*2/151.99+AG3*2/159.69+AH3/71.85+N3/70.94+O3/40.3+P3/74.69+Q3/81.38+R3/56.08+S3*2/61.98+T3*2/94.2+U3*2/141.944522+V3*2/149.881+W3/80.06),
IF(AO3="both",P3/74.69*AR3/(I3/60.08+J3/79.88+K3*2/101.96+L3*2/151.99+M3/71.85+N3/70.94+O3/40.3+P3/74.69+Q3/81.38+R3/56.08+S3*2/61.98+T3*2/94.2+U3*2/141.944522+V3*2/149.881+W3/80.06+X3/18.9984+Y3/35.453),
)))</f>
        <v>0</v>
      </c>
      <c r="BF3" s="11">
        <f t="shared" ref="BF3:BF4" si="41">IF(AO3="Anions",Q3/81.38*AQ3/(I3*2/60.08+J3*2/79.88+K3*3/101.96+L3*3/151.99+AG3*3/159.69+AH3/71.85+N3/70.94+O3/40.3+P3/74.69+Q3/81.38+R3/56.08+S3/61.98+T3/94.2+U3*5/141.944522+V3*3/149.881+W3*3/80.06+X3/18.9984+Y3/35.453),
IF(AO3="Cations",Q3/81.38*AR3/(I3/60.08+J3/79.88+K3*2/101.96+L3*2/151.99+AG3*2/159.69+AH3/71.85+N3/70.94+O3/40.3+P3/74.69+Q3/81.38+R3/56.08+S3*2/61.98+T3*2/94.2+U3*2/141.944522+V3*2/149.881+W3/80.06),
IF(AO3="both",Q3/81.38*AR3/(I3/60.08+J3/79.88+K3*2/101.96+L3*2/151.99+M3/71.85+N3/70.94+O3/40.3+P3/74.69+Q3/81.38+R3/56.08+S3*2/61.98+T3*2/94.2+U3*2/141.944522+V3*2/149.881+W3/80.06+X3/18.9984+Y3/35.453),
)))</f>
        <v>0</v>
      </c>
      <c r="BG3" s="11">
        <f t="shared" ref="BG3:BG4" si="42">IF(AO3="Anions",R3/56.08*AQ3/(I3*2/60.08+J3*2/79.88+K3*3/101.96+L3*3/151.99+AG3*3/159.69+AH3/71.85+N3/70.94+O3/40.3+P3/74.69+Q3/81.38+R3/56.08+S3/61.98+T3/94.2+U3*5/141.944522+V3*3/149.881+W3*3/80.06+X3/18.9984+Y3/35.453),
IF(AO3="Cations",R3/56.08*AR3/(I3/60.08+J3/79.88+K3*2/101.96+L3*2/151.99+AG3*2/159.69+AH3/71.85+N3/70.94+O3/40.3+P3/74.69+Q3/81.38+R3/56.08+S3*2/61.98+T3*2/94.2+U3*2/141.944522+V3*2/149.881+W3/80.06),
IF(AO3="both",R3/56.08*AR3/(I3/60.08+J3/79.88+K3*2/101.96+L3*2/151.99+M3/71.85+N3/70.94+O3/40.3+P3/74.69+Q3/81.38+R3/56.08+S3*2/61.98+T3*2/94.2+U3*2/141.944522+V3*2/149.881+W3/80.06+X3/18.9984+Y3/35.453),
)))</f>
        <v>0.79589511892445663</v>
      </c>
      <c r="BH3" s="11">
        <f t="shared" ref="BH3:BH4" si="43">IF(AO3="Anions",2*S3/61.98*AQ3/(I3*2/60.08+J3*2/79.88+K3*3/101.96+L3*3/151.99+AG3*3/159.69+AH3/71.85+N3/70.94+O3/40.3+P3/74.69+Q3/81.38+R3/56.08+S3/61.98+T3/94.2+U3*5/141.944522+V3*3/149.881+W3*3/80.06+X3/18.9984+Y3/35.453),
IF(AO3="Cations",2*S3/61.98*AR3/(I3/60.08+J3/79.88+K3*2/101.96+L3*2/151.99+AG3*2/159.69+AH3/71.85+N3/70.94+O3/40.3+P3/74.69+Q3/81.38+R3/56.08+S3*2/61.98+T3*2/94.2+U3*2/141.944522+V3*2/149.881+W3/80.06),
IF(AO3="both",2*S3/61.98*AR3/(I3/60.08+J3/79.88+K3*2/101.96+L3*2/151.99+M3/71.85+N3/70.94+O3/40.3+P3/74.69+Q3/81.38+R3/56.08+S3*2/61.98+T3*2/94.2+U3*2/141.944522+V3*2/149.881+W3/80.06+X3/18.9984+Y3/35.453),
)))</f>
        <v>0.12966360541477484</v>
      </c>
      <c r="BI3" s="11">
        <f t="shared" ref="BI3:BI4" si="44">IF(AO3="Anions",2*T3/94.2*AQ3/(I3*2/60.08+J3*2/79.88+K3*3/101.96+L3*3/151.99+AG3*3/159.69+AH3/71.85+N3/70.94+O3/40.3+P3/74.69+Q3/81.38+R3/56.08+S3/61.98+T3/94.2+U3*5/141.944522+V3*3/149.881+W3*3/80.06+X3/18.9984+Y3/35.453),
IF(AO3="Cations",2*T3/94.2*AR3/(I3/60.08+J3/79.88+K3*2/101.96+L3*2/151.99+AG3*2/159.69+AH3/71.85+N3/70.94+O3/40.3+P3/74.69+Q3/81.38+R3/56.08+S3*2/61.98+T3*2/94.2+U3*2/141.944522+V3*2/149.881+W3/80.06),
IF(AO3="both",2*T3/94.2*AR3/(I3/60.08+J3/79.88+K3*2/101.96+L3*2/151.99+M3/71.85+N3/70.94+O3/40.3+P3/74.69+Q3/81.38+R3/56.08+S3*2/61.98+T3*2/94.2+U3*2/141.944522+V3*2/149.881+W3/80.06+X3/18.9984+Y3/35.453),
)))</f>
        <v>0</v>
      </c>
      <c r="BJ3" s="11">
        <f t="shared" ref="BJ3:BJ4" si="45">IF(AO3="Anions",U3*2/141.944522*AQ3/(I3*2/60.08+J3*2/79.88+K3*3/101.96+L3*3/151.99+AG3*3/159.69+AH3/71.85+N3/70.94+O3/40.3+P3/74.69+Q3/81.38+R3/56.08+S3/61.98+T3/94.2+U3*5/141.944522+V3*3/149.881+W3*3/80.06+X3/18.9984+Y3/35.453),
IF(AO3="Cations",U3*2/141.944522*AR3/(I3/60.08+J3/79.88+K3*2/101.96+L3*2/151.99+AG3*2/159.69+AH3/71.85+N3/70.94+O3/40.3+P3/74.69+Q3/81.38+R3/56.08+S3*2/61.98+T3*2/94.2+U3*2/141.944522+V3*2/149.881+W3/80.06),
IF(AO3="both",U3*2/141.944522*AR3/(I3/60.08+J3/79.88+K3*2/101.96+L3*2/151.99+M3/71.85+N3/70.94+O3/40.3+P3/74.69+Q3/81.38+R3/56.08+S3*2/61.98+T3*2/94.2+U3*2/141.944522+V3*2/149.881+W3/80.06+X3/18.9984+Y3/35.453),
)))</f>
        <v>1.5797305889498833E-4</v>
      </c>
      <c r="BK3" s="11">
        <f t="shared" ref="BK3:BK4" si="46">IF(AO3="Anions",V3*2/149.881*AQ3/(I3*2/60.08+J3*2/79.88+K3*3/101.96+L3*3/151.99+AG3*3/159.69+AH3/71.85+N3/70.94+O3/40.3+P3/74.69+Q3/81.38+R3/56.08+S3/61.98+T3/94.2+U3*5/141.944522+V3*3/149.881+W3*3/80.06+X3/18.9984+Y3/35.453),
IF(AO3="Cations",V3*2/149.881*AR3/(I3/60.08+J3/79.88+K3*2/101.96+L3*2/151.99+AG3*2/159.69+AH3/71.85+N3/70.94+O3/40.3+P3/74.69+Q3/81.38+R3/56.08+S3*2/61.98+T3*2/94.2+U3*2/141.944522+V3*2/149.881+W3/80.06),
IF(AO3="both",V3*2/149.881*AR3/(I3/60.08+J3/79.88+K3*2/101.96+L3*2/151.99+M3/71.85+N3/70.94+O3/40.3+P3/74.69+Q3/81.38+R3/56.08+S3*2/61.98+T3*2/94.2+U3*2/141.944522+V3*2/149.881+W3/80.06+X3/18.9984+Y3/35.453),
)))</f>
        <v>0</v>
      </c>
      <c r="BL3" s="11">
        <f t="shared" ref="BL3:BL4" si="47">IF(AO3="Anions",W3/80.06*AQ3/(I3*2/60.08+J3*2/79.88+K3*3/101.96+L3*3/151.99+AG3*3/159.69+AH3/71.85+N3/70.94+O3/40.3+P3/74.69+Q3/81.38+R3/56.08+S3/61.98+T3/94.2+U3*5/141.944522+V3*3/149.881+W3*3/80.06+X3/18.9984+Y3/35.453),
IF(AO3="Cations",W3/80.06*AR3/(I3/60.08+J3/79.88+K3*2/101.96+L3*2/151.99+AG3*2/159.69+AH3/71.85+N3/70.94+O3/40.3+P3/74.69+Q3/81.38+R3/56.08+S3*2/61.98+T3*2/94.2+U3*2/141.944522+V3*2/149.881+W3/80.06),
IF(AO3="both",W3/80.06*AR3/(I3/60.08+J3/79.88+K3*2/101.96+L3*2/151.99+M3/71.85+N3/70.94+O3/40.3+P3/74.69+Q3/81.38+R3/56.08+S3*2/61.98+T3*2/94.2+U3*2/141.944522+V3*2/149.881+W3/80.06+X3/18.9984+Y3/35.453),
)))</f>
        <v>0</v>
      </c>
      <c r="BM3" s="34">
        <f t="shared" ref="BM3:BM4" si="48">IF(AO3="Anions",X3/18.9984*AQ3/(I3*2/60.08+J3*2/79.88+K3*3/101.96+L3*3/151.99+AG3*3/159.69+AH3/71.85+N3/70.94+O3/40.3+P3/74.69+Q3/81.38+R3/56.08+S3/61.98+T3/94.2+U3*5/141.944522+V3*3/149.881+W3*3/80.06+X3/18.9984+Y3/35.453),
IF(AO3="Cations",X3/18.9984*AR3/(I3/60.08+J3/79.88+K3*2/101.96+L3*2/151.99+AG3*2/159.69+AH3/71.85+N3/70.94+O3/40.3+P3/74.69+Q3/81.38+R3/56.08+S3*2/61.98+T3*2/94.2+U3*2/141.944522+V3*2/149.881+W3/80.06),
IF(AO3="both",X3/18.9984*AR3/(I3/60.08+J3/79.88+K3*2/101.96+L3*2/151.99+M3/71.85+N3/70.94+O3/40.3+P3/74.69+Q3/81.38+R3/56.08+S3*2/61.98+T3*2/94.2+U3*2/141.944522+V3*2/149.881+W3/80.06+X3/18.9984+Y3/35.453),
)))</f>
        <v>0</v>
      </c>
      <c r="BN3" s="11">
        <f t="shared" ref="BN3:BN4" si="49">IF(AO3="Anions",Y3/35.453*AQ3/(I3*2/60.08+J3*2/79.88+K3*3/101.96+L3*3/151.99+AG3*3/159.69+AH3/71.85+N3/70.94+O3/40.3+P3/74.69+Q3/81.38+R3/56.08+S3/61.98+T3/94.2+U3*5/141.944522+V3*3/149.881+W3*3/80.06+X3/18.9984+Y3/35.453),
IF(AO3="Cations",Y3/35.453*AR3/(I3/60.08+J3/79.88+K3*2/101.96+L3*2/151.99+AG3*2/159.69+AH3/71.85+N3/70.94+O3/40.3+P3/74.69+Q3/81.38+R3/56.08+S3*2/61.98+T3*2/94.2+U3*2/141.944522+V3*2/149.881+W3/80.06),
IF(AO3="both",Y3/35.453*AR3/(I3/60.08+J3/79.88+K3*2/101.96+L3*2/151.99+M3/71.85+N3/70.94+O3/40.3+P3/74.69+Q3/81.38+R3/56.08+S3*2/61.98+T3*2/94.2+U3*2/141.944522+V3*2/149.881+W3/80.06+X3/18.9984+Y3/35.453),
)))</f>
        <v>0</v>
      </c>
      <c r="BO3" s="11"/>
      <c r="BP3" s="12">
        <f t="shared" ref="BP3:BP4" si="50">SUM(AW3:BK3)</f>
        <v>3.9998784512589931</v>
      </c>
      <c r="BQ3" s="12">
        <f t="shared" ref="BQ3:BQ4" si="51">AW3*2+AX3*2+AY3*3/2+AZ3*3/2+BA3+BB3*3/2+BC3+BD3+BE3+BF3+BG3+BH3/2+BI3/2+BM3+BN3+BK3*3/2</f>
        <v>5.9996050673527632</v>
      </c>
    </row>
    <row r="4" spans="1:69" ht="16" customHeight="1">
      <c r="A4" s="18">
        <v>3</v>
      </c>
      <c r="B4" s="17" t="s">
        <v>35</v>
      </c>
      <c r="C4" s="17" t="s">
        <v>465</v>
      </c>
      <c r="D4" s="17" t="s">
        <v>467</v>
      </c>
      <c r="E4" s="18">
        <v>14</v>
      </c>
      <c r="F4" s="18">
        <v>900</v>
      </c>
      <c r="G4" s="18">
        <v>7</v>
      </c>
      <c r="I4" s="20">
        <v>48.886000000000003</v>
      </c>
      <c r="J4" s="20">
        <v>0.32300000000000001</v>
      </c>
      <c r="K4" s="20">
        <v>7.6859999999999999</v>
      </c>
      <c r="L4" s="20">
        <v>1.2E-2</v>
      </c>
      <c r="M4" s="20">
        <v>10.052</v>
      </c>
      <c r="N4" s="20">
        <v>0.31900000000000001</v>
      </c>
      <c r="O4" s="20">
        <v>10.618</v>
      </c>
      <c r="R4" s="20">
        <v>20.498000000000001</v>
      </c>
      <c r="S4" s="20">
        <v>1.774</v>
      </c>
      <c r="T4" s="20">
        <v>8.0000000000000002E-3</v>
      </c>
      <c r="U4" s="20">
        <v>1.2999999999999999E-2</v>
      </c>
      <c r="AB4" s="24">
        <f t="shared" si="0"/>
        <v>0</v>
      </c>
      <c r="AC4" s="24">
        <f t="shared" si="1"/>
        <v>0</v>
      </c>
      <c r="AD4" s="24">
        <f t="shared" si="22"/>
        <v>100.18900000000001</v>
      </c>
      <c r="AF4" s="41">
        <f t="shared" si="23"/>
        <v>0.50277911466080294</v>
      </c>
      <c r="AG4" s="21">
        <f t="shared" si="24"/>
        <v>5.6163047017152801</v>
      </c>
      <c r="AH4" s="21">
        <f t="shared" si="25"/>
        <v>4.9980643394296083</v>
      </c>
      <c r="AI4" s="20">
        <f t="shared" si="26"/>
        <v>0</v>
      </c>
      <c r="AJ4" s="20"/>
      <c r="AK4" s="85">
        <f t="shared" si="27"/>
        <v>100.75136904114488</v>
      </c>
      <c r="AL4" s="85"/>
      <c r="AM4" s="45" t="s">
        <v>35</v>
      </c>
      <c r="AN4" s="89"/>
      <c r="AO4" s="84" t="s">
        <v>468</v>
      </c>
      <c r="AP4" s="89"/>
      <c r="AQ4" s="50">
        <f t="shared" si="28"/>
        <v>6</v>
      </c>
      <c r="AR4" s="50">
        <f t="shared" si="29"/>
        <v>4</v>
      </c>
      <c r="AS4" s="51"/>
      <c r="AT4" s="50">
        <f t="shared" si="30"/>
        <v>0</v>
      </c>
      <c r="AU4" s="50">
        <f t="shared" si="31"/>
        <v>0</v>
      </c>
      <c r="AV4" s="12"/>
      <c r="AW4" s="11">
        <f t="shared" si="32"/>
        <v>1.8084306706853133</v>
      </c>
      <c r="AX4" s="11">
        <f t="shared" si="33"/>
        <v>8.9875364377311005E-3</v>
      </c>
      <c r="AY4" s="11">
        <f t="shared" si="34"/>
        <v>0.3351017894606183</v>
      </c>
      <c r="AZ4" s="11">
        <f t="shared" si="35"/>
        <v>3.509719629897242E-4</v>
      </c>
      <c r="BA4" s="11">
        <f t="shared" si="36"/>
        <v>0.15461487297261417</v>
      </c>
      <c r="BB4" s="11">
        <f t="shared" si="37"/>
        <v>0.15634324952688239</v>
      </c>
      <c r="BC4" s="11">
        <f t="shared" si="38"/>
        <v>9.9948365642819111E-3</v>
      </c>
      <c r="BD4" s="11">
        <f t="shared" si="39"/>
        <v>0.58561726618771026</v>
      </c>
      <c r="BE4" s="11">
        <f t="shared" si="40"/>
        <v>0</v>
      </c>
      <c r="BF4" s="11">
        <f t="shared" si="41"/>
        <v>0</v>
      </c>
      <c r="BG4" s="11">
        <f t="shared" si="42"/>
        <v>0.81241827074882478</v>
      </c>
      <c r="BH4" s="11">
        <f t="shared" si="43"/>
        <v>0.12723548138328186</v>
      </c>
      <c r="BI4" s="11">
        <f t="shared" si="44"/>
        <v>3.7752461892999424E-4</v>
      </c>
      <c r="BJ4" s="11">
        <f t="shared" si="45"/>
        <v>4.0712794145524587E-4</v>
      </c>
      <c r="BK4" s="11">
        <f t="shared" si="46"/>
        <v>0</v>
      </c>
      <c r="BL4" s="11">
        <f t="shared" si="47"/>
        <v>0</v>
      </c>
      <c r="BM4" s="34">
        <f t="shared" si="48"/>
        <v>0</v>
      </c>
      <c r="BN4" s="11">
        <f t="shared" si="49"/>
        <v>0</v>
      </c>
      <c r="BO4" s="11"/>
      <c r="BP4" s="12">
        <f t="shared" si="50"/>
        <v>3.999879598490633</v>
      </c>
      <c r="BQ4" s="12">
        <f t="shared" si="51"/>
        <v>5.9989821801463608</v>
      </c>
    </row>
  </sheetData>
  <phoneticPr fontId="15" type="noConversion"/>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DE1B9-0D57-C642-A18E-4E29B1B000F9}">
  <dimension ref="A1:DP27"/>
  <sheetViews>
    <sheetView zoomScale="125" zoomScaleNormal="125" zoomScalePageLayoutView="125" workbookViewId="0">
      <pane xSplit="3" ySplit="1" topLeftCell="AV2" activePane="bottomRight" state="frozen"/>
      <selection pane="topRight" activeCell="D1" sqref="D1"/>
      <selection pane="bottomLeft" activeCell="A2" sqref="A2"/>
      <selection pane="bottomRight" activeCell="CA27" sqref="CA27"/>
    </sheetView>
  </sheetViews>
  <sheetFormatPr baseColWidth="10" defaultRowHeight="16" customHeight="1"/>
  <cols>
    <col min="1" max="1" width="6.5" style="39" customWidth="1"/>
    <col min="2" max="2" width="19.1640625" style="57" bestFit="1" customWidth="1"/>
    <col min="3" max="3" width="11.33203125" style="57" bestFit="1" customWidth="1"/>
    <col min="4" max="4" width="30.6640625" style="67" customWidth="1"/>
    <col min="5" max="7" width="2.33203125" style="67" customWidth="1"/>
    <col min="8" max="8" width="6.5" style="39" bestFit="1" customWidth="1"/>
    <col min="9" max="9" width="5.1640625" style="39" bestFit="1" customWidth="1"/>
    <col min="10" max="10" width="6.1640625" style="39" bestFit="1" customWidth="1"/>
    <col min="11" max="11" width="6.5" style="39" bestFit="1" customWidth="1"/>
    <col min="12" max="12" width="7.83203125" style="58" bestFit="1" customWidth="1"/>
    <col min="13" max="13" width="5.6640625" style="59" bestFit="1" customWidth="1"/>
    <col min="14" max="14" width="7.33203125" style="39" bestFit="1" customWidth="1"/>
    <col min="15" max="15" width="5.1640625" style="39" bestFit="1" customWidth="1"/>
    <col min="16" max="16" width="5.83203125" style="39" bestFit="1" customWidth="1"/>
    <col min="17" max="17" width="5" style="39" bestFit="1" customWidth="1"/>
    <col min="18" max="18" width="5" style="39" customWidth="1"/>
    <col min="19" max="19" width="5.6640625" style="39" bestFit="1" customWidth="1"/>
    <col min="20" max="20" width="6" style="39" bestFit="1" customWidth="1"/>
    <col min="21" max="21" width="4.83203125" style="70" bestFit="1" customWidth="1"/>
    <col min="22" max="23" width="4.83203125" style="70" customWidth="1"/>
    <col min="24" max="24" width="4.83203125" style="70" bestFit="1" customWidth="1"/>
    <col min="25" max="25" width="4" style="70" bestFit="1" customWidth="1"/>
    <col min="26" max="26" width="6.5" style="70" bestFit="1" customWidth="1"/>
    <col min="27" max="27" width="1" style="70" customWidth="1"/>
    <col min="28" max="28" width="5.33203125" style="72" bestFit="1" customWidth="1"/>
    <col min="29" max="29" width="4.33203125" style="72" bestFit="1" customWidth="1"/>
    <col min="30" max="30" width="9.33203125" style="22" bestFit="1" customWidth="1"/>
    <col min="31" max="31" width="1.33203125" style="22" customWidth="1"/>
    <col min="32" max="32" width="9.6640625" style="40" customWidth="1"/>
    <col min="33" max="34" width="8.1640625" style="67" customWidth="1"/>
    <col min="35" max="37" width="6.5" style="67" customWidth="1"/>
    <col min="38" max="40" width="9.83203125" style="67" customWidth="1"/>
    <col min="41" max="41" width="8.1640625" style="67" customWidth="1"/>
    <col min="42" max="46" width="6" style="67" customWidth="1"/>
    <col min="47" max="47" width="7.33203125" style="67" customWidth="1"/>
    <col min="48" max="52" width="6" style="67" customWidth="1"/>
    <col min="53" max="53" width="7.5" style="44" customWidth="1"/>
    <col min="54" max="54" width="1.1640625" style="67" customWidth="1"/>
    <col min="55" max="55" width="7.33203125" style="74" customWidth="1"/>
    <col min="56" max="56" width="1.1640625" style="67" customWidth="1"/>
    <col min="57" max="57" width="8.5" style="75" customWidth="1"/>
    <col min="58" max="58" width="8.33203125" style="75" customWidth="1"/>
    <col min="59" max="59" width="1.33203125" style="75" customWidth="1"/>
    <col min="60" max="60" width="4.83203125" style="67" customWidth="1"/>
    <col min="61" max="61" width="7.5" style="67" bestFit="1" customWidth="1"/>
    <col min="62" max="62" width="6.1640625" style="67" customWidth="1"/>
    <col min="63" max="63" width="7.5" style="67" bestFit="1" customWidth="1"/>
    <col min="64" max="64" width="6.5" style="67" bestFit="1" customWidth="1"/>
    <col min="65" max="65" width="5.83203125" style="67" customWidth="1"/>
    <col min="66" max="66" width="6.5" style="67" bestFit="1" customWidth="1"/>
    <col min="67" max="67" width="5.6640625" style="67" customWidth="1"/>
    <col min="68" max="68" width="6.5" style="67" customWidth="1"/>
    <col min="69" max="69" width="5.6640625" style="67" customWidth="1"/>
    <col min="70" max="70" width="6.5" style="67" bestFit="1" customWidth="1"/>
    <col min="71" max="71" width="6.5" style="67" customWidth="1"/>
    <col min="72" max="72" width="6.5" style="67" bestFit="1" customWidth="1"/>
    <col min="73" max="74" width="5.6640625" style="70" customWidth="1"/>
    <col min="75" max="75" width="6.5" style="70" bestFit="1" customWidth="1"/>
    <col min="76" max="76" width="5.83203125" style="70" customWidth="1"/>
    <col min="77" max="78" width="5.6640625" style="70" customWidth="1"/>
    <col min="79" max="79" width="7.83203125" style="70" bestFit="1" customWidth="1"/>
    <col min="80" max="80" width="6.6640625" style="70" customWidth="1"/>
    <col min="81" max="83" width="8.33203125" style="67" customWidth="1"/>
    <col min="84" max="84" width="13.83203125" style="67" bestFit="1" customWidth="1"/>
    <col min="85" max="102" width="7.5" style="67" customWidth="1"/>
    <col min="103" max="103" width="9.83203125" style="67" customWidth="1"/>
    <col min="104" max="104" width="7.5" style="67" customWidth="1"/>
    <col min="105" max="105" width="13.1640625" style="67" customWidth="1"/>
    <col min="106" max="106" width="4.83203125" style="67" bestFit="1" customWidth="1"/>
    <col min="107" max="107" width="4.83203125" style="67" customWidth="1"/>
    <col min="108" max="108" width="4.6640625" style="67" bestFit="1" customWidth="1"/>
    <col min="109" max="109" width="5" style="67" bestFit="1" customWidth="1"/>
    <col min="110" max="110" width="7.5" style="67" bestFit="1" customWidth="1"/>
    <col min="111" max="111" width="5.6640625" style="67" bestFit="1" customWidth="1"/>
    <col min="112" max="112" width="6.5" style="67" bestFit="1" customWidth="1"/>
    <col min="113" max="114" width="5.6640625" style="67" bestFit="1" customWidth="1"/>
    <col min="115" max="116" width="6.5" style="67" bestFit="1" customWidth="1"/>
    <col min="117" max="118" width="5.6640625" style="67" bestFit="1" customWidth="1"/>
    <col min="119" max="119" width="6.83203125" style="67" customWidth="1"/>
    <col min="120" max="120" width="7.33203125" style="67" bestFit="1" customWidth="1"/>
    <col min="121" max="16384" width="10.83203125" style="67"/>
  </cols>
  <sheetData>
    <row r="1" spans="1:120" ht="16" customHeight="1">
      <c r="A1" s="4" t="s">
        <v>0</v>
      </c>
      <c r="B1" s="4" t="s">
        <v>174</v>
      </c>
      <c r="C1" s="5" t="s">
        <v>1</v>
      </c>
      <c r="D1" s="14" t="s">
        <v>11</v>
      </c>
      <c r="E1" s="4" t="s">
        <v>8</v>
      </c>
      <c r="F1" s="4" t="s">
        <v>9</v>
      </c>
      <c r="G1" s="4" t="s">
        <v>10</v>
      </c>
      <c r="H1" s="4" t="s">
        <v>44</v>
      </c>
      <c r="I1" s="4" t="s">
        <v>47</v>
      </c>
      <c r="J1" s="4" t="s">
        <v>45</v>
      </c>
      <c r="K1" s="4" t="s">
        <v>48</v>
      </c>
      <c r="L1" s="58" t="s">
        <v>137</v>
      </c>
      <c r="M1" s="59" t="s">
        <v>4</v>
      </c>
      <c r="N1" s="4" t="s">
        <v>46</v>
      </c>
      <c r="O1" s="4" t="s">
        <v>3</v>
      </c>
      <c r="P1" s="4" t="s">
        <v>2</v>
      </c>
      <c r="Q1" s="39" t="s">
        <v>5</v>
      </c>
      <c r="R1" s="39" t="s">
        <v>112</v>
      </c>
      <c r="S1" s="4" t="s">
        <v>6</v>
      </c>
      <c r="T1" s="4" t="s">
        <v>43</v>
      </c>
      <c r="U1" s="4" t="s">
        <v>64</v>
      </c>
      <c r="V1" s="39" t="s">
        <v>134</v>
      </c>
      <c r="W1" s="39" t="s">
        <v>300</v>
      </c>
      <c r="X1" s="39" t="s">
        <v>65</v>
      </c>
      <c r="Y1" s="39" t="s">
        <v>66</v>
      </c>
      <c r="Z1" s="39" t="s">
        <v>136</v>
      </c>
      <c r="AA1" s="4"/>
      <c r="AB1" s="22" t="s">
        <v>68</v>
      </c>
      <c r="AC1" s="22" t="s">
        <v>69</v>
      </c>
      <c r="AD1" s="22" t="s">
        <v>98</v>
      </c>
      <c r="AF1" s="40" t="s">
        <v>175</v>
      </c>
      <c r="AG1" s="39" t="s">
        <v>138</v>
      </c>
      <c r="AH1" s="39" t="s">
        <v>145</v>
      </c>
      <c r="AI1" s="39" t="s">
        <v>144</v>
      </c>
      <c r="AJ1" s="39" t="s">
        <v>29</v>
      </c>
      <c r="AK1" s="39" t="s">
        <v>142</v>
      </c>
      <c r="AL1" s="39" t="s">
        <v>139</v>
      </c>
      <c r="AM1" s="39" t="s">
        <v>143</v>
      </c>
      <c r="AN1" s="39" t="s">
        <v>140</v>
      </c>
      <c r="AO1" s="39" t="s">
        <v>141</v>
      </c>
      <c r="AP1" s="4" t="s">
        <v>7</v>
      </c>
      <c r="AQ1" s="4"/>
      <c r="AR1" s="4" t="s">
        <v>147</v>
      </c>
      <c r="AS1" s="4" t="s">
        <v>148</v>
      </c>
      <c r="AT1" s="4" t="s">
        <v>149</v>
      </c>
      <c r="AU1" s="4" t="s">
        <v>49</v>
      </c>
      <c r="AV1" s="4" t="s">
        <v>50</v>
      </c>
      <c r="AW1" s="4" t="s">
        <v>150</v>
      </c>
      <c r="AX1" s="4" t="s">
        <v>151</v>
      </c>
      <c r="AY1" s="4" t="s">
        <v>152</v>
      </c>
      <c r="AZ1" s="4"/>
      <c r="BA1" s="44" t="s">
        <v>13</v>
      </c>
      <c r="BB1" s="4"/>
      <c r="BC1" s="64" t="s">
        <v>95</v>
      </c>
      <c r="BD1" s="4"/>
      <c r="BE1" s="65" t="s">
        <v>14</v>
      </c>
      <c r="BF1" s="49" t="s">
        <v>97</v>
      </c>
      <c r="BG1" s="65"/>
      <c r="BH1" s="66"/>
      <c r="BI1" s="4" t="s">
        <v>18</v>
      </c>
      <c r="BJ1" s="4" t="s">
        <v>22</v>
      </c>
      <c r="BK1" s="4" t="s">
        <v>19</v>
      </c>
      <c r="BL1" s="4" t="s">
        <v>23</v>
      </c>
      <c r="BM1" s="4" t="s">
        <v>49</v>
      </c>
      <c r="BN1" s="4" t="s">
        <v>50</v>
      </c>
      <c r="BO1" s="4" t="s">
        <v>20</v>
      </c>
      <c r="BP1" s="4" t="s">
        <v>17</v>
      </c>
      <c r="BQ1" s="4" t="s">
        <v>24</v>
      </c>
      <c r="BR1" s="4" t="s">
        <v>109</v>
      </c>
      <c r="BS1" s="4" t="s">
        <v>21</v>
      </c>
      <c r="BT1" s="4" t="s">
        <v>16</v>
      </c>
      <c r="BU1" s="4" t="s">
        <v>67</v>
      </c>
      <c r="BV1" s="4" t="s">
        <v>119</v>
      </c>
      <c r="BW1" s="4" t="s">
        <v>29</v>
      </c>
      <c r="BX1" s="4" t="s">
        <v>155</v>
      </c>
      <c r="BY1" s="4" t="s">
        <v>65</v>
      </c>
      <c r="BZ1" s="4" t="s">
        <v>66</v>
      </c>
      <c r="CA1" s="4" t="s">
        <v>153</v>
      </c>
      <c r="CB1" s="4" t="s">
        <v>154</v>
      </c>
      <c r="CC1" s="66" t="s">
        <v>97</v>
      </c>
      <c r="CD1" s="66" t="s">
        <v>96</v>
      </c>
      <c r="CE1" s="66"/>
      <c r="CF1" s="80" t="s">
        <v>177</v>
      </c>
      <c r="CG1" s="4" t="s">
        <v>44</v>
      </c>
      <c r="CH1" s="4" t="s">
        <v>47</v>
      </c>
      <c r="CI1" s="4" t="s">
        <v>45</v>
      </c>
      <c r="CJ1" s="4" t="s">
        <v>48</v>
      </c>
      <c r="CK1" s="28" t="s">
        <v>4</v>
      </c>
      <c r="CL1" s="4" t="s">
        <v>3</v>
      </c>
      <c r="CM1" s="4" t="s">
        <v>2</v>
      </c>
      <c r="CN1" s="39" t="s">
        <v>5</v>
      </c>
      <c r="CO1" s="39" t="s">
        <v>112</v>
      </c>
      <c r="CP1" s="4" t="s">
        <v>6</v>
      </c>
      <c r="CQ1" s="4" t="s">
        <v>43</v>
      </c>
      <c r="CR1" s="4" t="s">
        <v>64</v>
      </c>
      <c r="CS1" s="39" t="s">
        <v>134</v>
      </c>
      <c r="CT1" s="4" t="s">
        <v>297</v>
      </c>
      <c r="CU1" s="4" t="s">
        <v>155</v>
      </c>
      <c r="CV1" s="4" t="s">
        <v>298</v>
      </c>
      <c r="CW1" s="4" t="s">
        <v>299</v>
      </c>
      <c r="CX1" s="4" t="s">
        <v>176</v>
      </c>
      <c r="CY1" s="79" t="s">
        <v>178</v>
      </c>
      <c r="CZ1" s="79"/>
      <c r="DA1" s="80" t="s">
        <v>279</v>
      </c>
      <c r="DB1" s="67" t="s">
        <v>267</v>
      </c>
      <c r="DC1" s="67" t="s">
        <v>295</v>
      </c>
      <c r="DD1" s="67" t="s">
        <v>268</v>
      </c>
      <c r="DE1" s="67" t="s">
        <v>269</v>
      </c>
      <c r="DF1" s="28" t="s">
        <v>4</v>
      </c>
      <c r="DG1" s="4" t="s">
        <v>3</v>
      </c>
      <c r="DH1" s="4" t="s">
        <v>2</v>
      </c>
      <c r="DI1" s="39" t="s">
        <v>5</v>
      </c>
      <c r="DJ1" s="39" t="s">
        <v>112</v>
      </c>
      <c r="DK1" s="4" t="s">
        <v>6</v>
      </c>
      <c r="DL1" s="4" t="s">
        <v>43</v>
      </c>
      <c r="DM1" s="4" t="s">
        <v>64</v>
      </c>
      <c r="DN1" s="39" t="s">
        <v>270</v>
      </c>
      <c r="DO1" s="4" t="s">
        <v>176</v>
      </c>
      <c r="DP1" s="79" t="s">
        <v>14</v>
      </c>
    </row>
    <row r="2" spans="1:120" ht="16" customHeight="1">
      <c r="A2" s="4"/>
      <c r="B2" s="4"/>
      <c r="C2" s="5"/>
      <c r="D2" s="14"/>
      <c r="E2" s="4"/>
      <c r="F2" s="4"/>
      <c r="G2" s="4"/>
      <c r="H2" s="4">
        <v>42.71</v>
      </c>
      <c r="I2" s="4"/>
      <c r="J2" s="4"/>
      <c r="K2" s="4"/>
      <c r="N2" s="4">
        <v>1</v>
      </c>
      <c r="O2" s="4"/>
      <c r="P2" s="4">
        <v>57.29</v>
      </c>
      <c r="S2" s="4"/>
      <c r="T2" s="4"/>
      <c r="U2" s="4"/>
      <c r="V2" s="39"/>
      <c r="W2" s="60"/>
      <c r="X2" s="39"/>
      <c r="Y2" s="39"/>
      <c r="Z2" s="39"/>
      <c r="AA2" s="4"/>
      <c r="AB2" s="24">
        <f t="shared" ref="AB2:AB15" si="0">-(15.9995/(2*18.9984))*X2</f>
        <v>0</v>
      </c>
      <c r="AC2" s="24">
        <f t="shared" ref="AC2:AC15" si="1">-(15.9995/(2*35.453))*Y2</f>
        <v>0</v>
      </c>
      <c r="AD2" s="24">
        <f t="shared" ref="AD2:AD15" si="2">SUM(H2:Z2)-N2</f>
        <v>100</v>
      </c>
      <c r="AE2" s="24"/>
      <c r="AF2" s="71">
        <f>IF(M2&lt;&gt;"",2*L2/159.69/(N2/71.844),0)</f>
        <v>0</v>
      </c>
      <c r="AG2" s="97"/>
      <c r="AH2" s="97">
        <f>AO2-AI2</f>
        <v>0</v>
      </c>
      <c r="AI2" s="79"/>
      <c r="AJ2" s="60"/>
      <c r="AK2" s="60"/>
      <c r="AL2" s="60"/>
      <c r="AM2" s="60"/>
      <c r="AN2" s="60"/>
      <c r="AO2" s="60">
        <f t="shared" ref="AO2:AO15" si="3">Z2-M2*0.111+AL2/10000*0.7484 +AM2/10000*0.3742</f>
        <v>0</v>
      </c>
      <c r="AP2" s="124">
        <f t="shared" ref="AP2:AP8" si="4">IF(M2&lt;&gt;"",SUM(P2,H2,J2,O2,M2,L2,Q2,R2,S2,I2,K2,AG2,AI2,T2,U2,X2,Y2,AB2,AC2),
IF(M2="",SUM(P2,H2,J2,O2,N2,Q2,R2,S2,I2,K2,AG2,AI2,T2,U2,X2,Y2,AB2,AC2),
))</f>
        <v>101</v>
      </c>
      <c r="AQ2" s="126"/>
      <c r="AR2" s="126"/>
      <c r="AS2" s="140">
        <f t="shared" ref="AS2:AS15" si="5">AJ2</f>
        <v>0</v>
      </c>
      <c r="AT2" s="140">
        <f t="shared" ref="AT2:AT15" si="6">AI2*(12.011/(12.011+2*15.999))*100/AP2</f>
        <v>0</v>
      </c>
      <c r="AU2" s="140">
        <f t="shared" ref="AU2:AU15" si="7">IF(M2="",N2*(55.845/(55.845+15.999))*100/AP2,M2*(55.845/(55.845+15.999))*100/AP2)</f>
        <v>0.76961303947331428</v>
      </c>
      <c r="AV2" s="140">
        <f t="shared" ref="AV2:AV15" si="8">L2*(2*55.845/(2*55.845+3*15.999))*100/AP2</f>
        <v>0</v>
      </c>
      <c r="AW2" s="140">
        <f t="shared" ref="AW2:AW15" si="9">AL2/10000*100/AP2</f>
        <v>0</v>
      </c>
      <c r="AX2" s="140">
        <f t="shared" ref="AX2:AX15" si="10">AM2/10000*100/AP2</f>
        <v>0</v>
      </c>
      <c r="AY2" s="140">
        <f t="shared" ref="AY2:AY15" si="11">AN2/10000*100/AP2</f>
        <v>0</v>
      </c>
      <c r="AZ2" s="126"/>
      <c r="BA2" s="68" t="s">
        <v>146</v>
      </c>
      <c r="BB2" s="124"/>
      <c r="BC2" s="96" t="s">
        <v>96</v>
      </c>
      <c r="BD2" s="124"/>
      <c r="BE2" s="50">
        <f t="shared" ref="BE2:BE15" si="12">IF(AND(BC2="Anions",BA2="Amph"),23,
IF(AND(BC2="Cations",BA2="Amph"),CD2,
IF(AND(BC2="Anions",BA2="Mica"),11,
IF(AND(BC2="Cations",BA2="Mica"),CD2,
IF(AND(BC2="Anions",BA2="Ti-Chu"),17.5,
IF(AND(BC2="Cations",BA2="Ti-Chu"),CD2,
IF(AND(BC2="Anions",BA2="F-Ph"),11.5,
IF(AND(BC2="Cations",BA2="F-Ph"),CD2,
IF(AND(BC2="Anions",BA2="Pl"),8,
IF(AND(BC2="Cations",BA2="Pl"),CD2,
IF(AND(BC2="Anions",BA2="Dol"),2,
IF(AND(BC2="Cations",BA2="Dol"),CD2,
IF(AND(BC2="Anions",BA2="Cb"),1,
IF(AND(BC2="Cations",BA2="Cb"),CD2,
IF(AND(BC2="Anions",BA2="Br"),1,
IF(AND(BC2="Cations",BA2="Br"),CD2,
IF(AND(BC2="Anions",BA2="Liz"),7,
IF(AND(BC2="Cations",BA2="Liz"),CD2,
IF(AND(BC2="Anions",BA2="Ep"),12.5,
IF(AND(BC2="Cations",BA2="Ep"),CD2,
IF(AND(BC2="Anions",BA2="Chum"),17,
IF(AND(BC2="Cations",BA2="Chum"),CD2,
IF(AND(BC2="Anions",BA2="Ol"),4,
IF(AND(BC2="Cations",BA2="Ol"),CD2,
IF(AND(BC2="Anions",BA2="Opx"),6,
IF(AND(BC2="Cations",BA2="Opx"),CD2,
IF(AND(BC2="Anions",BA2="Tlc"),11,
IF(AND(BC2="Cations",BA2="Tlc"),CD2,
IF(AND(BC2="Anions",BA2="Tr"),23,
IF(AND(BC2="Cations",BA2="Tr"),CD2,
IF(AND(BC2="Anions",BA2="Atg"),6.824,
IF(AND(BC2="Cations",BA2="Atg"),CD2,
IF(AND(BC2="Anions",BA2="Chl"),14,
IF(AND(BC2="Cations",BA2="Chl"),CD2,
IF(AND(BC2="Anions",BA2="Cpx"),6,
IF(AND(BC2="Cations",BA2="Cpx"),CD2,
IF(AND(BC2="both",BA2="Cpx"),6,
IF(AND(BC2="Anions",BA2="Grt"),12,
IF(AND(BC2="Cations",BA2="Grt"),CD2,
IF(AND(BC2="both",BA2="Grt"),12,
IF(AND(BC2="Anions",BA2="Mag"),4,
IF(AND(BC2="Cations",BA2="Mag"),CD2,
IF(AND(BC2="both",BA2="Mag"),4,
IF(AND(BC2="Anions",BA2="Ti-Cho"),9.5,
IF(AND(BC2="Cations",BA2="Ti-Cho"),CD2,
IF(AND(BC2="Anions",BA2="Ilv"),8.5,
IF(AND(BC2="Cations",BA2="Ilv"),CD2,
IF(AND(BC2="both",BA2="Ilv"),8.5,
IF(AND(BC2="Anions",BA2="Hem"),3,
IF(AND(BC2="Cations",BA2="Hem"),CD2,
IF(AND(BC2="both",BA2="Hem"),3,
IF(AND(BC2="Anions",BA2="WR"),100,
IF(AND(BC2="mol/kg",BA2="WR"),"",
IF(AND(BC2="Cations",BA2="WR"),CD2
)))))))))))))))))))))))))))))))))))))))))))))))))))
)))</f>
        <v>100</v>
      </c>
      <c r="BF2" s="50">
        <f t="shared" ref="BF2:BF15" si="13">IF(AND(BC2="Anions",BA2="Amph"),CC2,
IF(AND(BC2="Cations",BA2="Amph"),15,
IF(AND(BC2="Anions",BA2="Mica"),CC2,
IF(AND(BC2="Cations",BA2="Mica"),7,
IF(AND(BC2="Anions",BA2="Ti-Chu"),CC2,
IF(AND(BC2="Cations",BA2="Ti-Chu"),13,
IF(AND(BC2="Anions",BA2="F-Ph"),CC2,
IF(AND(BC2="Cations",BA2="F-Ph"),8,
IF(AND(BC2="Anions",BA2="Pl"),CC2,
IF(AND(BC2="Cations",BA2="Pl"),5,
IF(AND(BC2="Anions",BA2="Dol"),CC2,
IF(AND(BC2="Cations",BA2="Dol"),2,
IF(AND(BC2="Anions",BA2="Cb"),CC2,
IF(AND(BC2="Cations",BA2="Cb"),1,
IF(AND(BC2="Anions",BA2="Br"),CC2,
IF(AND(BC2="Cations",BA2="Br"),1,
IF(AND(BC2="Anions",BA2="Liz"),CC2,
IF(AND(BC2="Cations",BA2="Liz"),5,
IF(AND(BC2="Anions",BA2="Ep"),CC2,
IF(AND(BC2="Cations",BA2="Ep"),8,
IF(AND(BC2="Anions",BA2="Chum"),CC2,
IF(AND(BC2="Cations",BA2="Chum"),13,
IF(AND(BC2="Anions",BA2="Ol"),CC2,
IF(AND(BC2="Cations",BA2="Ol"),3,
IF(AND(BC2="Anions",BA2="Opx"),CC2,
IF(AND(BC2="Cations",BA2="Opx"),4,
IF(AND(BC2="Anions",BA2="Tlc"),CC2,
IF(AND(BC2="Cations",BA2="Tlc"),7,
IF(AND(BC2="Anions",BA2="Tr"),CC2,
IF(AND(BC2="Cations",BA2="Tr"),15,
IF(AND(BC2="Anions",BA2="Atg"),CC2,
IF(AND(BC2="Cations",BA2="Atg"),4.825,
IF(AND(BC2="Anions",BA2="Chl"),CC2,
IF(AND(BC2="Cations",BA2="Chl"),10,
IF(AND(BC2="Anions",BA2="Cpx"),CC2,
IF(AND(BC2="Cations",BA2="Cpx"),4,
IF(AND(BC2="both",BA2="Cpx"),4,
IF(AND(BC2="Anions",BA2="Grt"),CC2,
IF(AND(BC2="Cations",BA2="Grt"),8,
IF(AND(BC2="both",BA2="Grt"),8,
IF(AND(BC2="Anions",BA2="Mag"),CC2,
IF(AND(BC2="Cations",BA2="Mag"),3,
IF(AND(BC2="both",BA2="Mag"),3,
IF(AND(BC2="Anions",BA2="Ti-Cho"),CC2,
IF(AND(BC2="Cations",BA2="Ti-Cho"),7,
IF(AND(BC2="Anions",BA2="Ilv"),CC2,
IF(AND(BC2="Cations",BA2="Ilv"),6,
IF(AND(BC2="both",BA2="Ilv"),6,
IF(AND(BC2="Anions",BA2="Hem"),CC2,
IF(AND(BC2="Cations",BA2="Hem"),2,
IF(AND(BC2="both",BA2="Hem"),2,
IF(AND(BC2="Anions",BA2="WR"),CC2,
IF(AND(BC2="mol/kg",BA2="WR"),"",
IF(AND(BC2="Cations",BA2="WR"),100,
))))))))))))))))))))))))))))))))))))))))))))))))
))))))</f>
        <v>75.120175625557181</v>
      </c>
      <c r="BG2" s="51"/>
      <c r="BH2" s="12"/>
      <c r="BI2" s="76">
        <f t="shared" ref="BI2:BI15" si="14">IF(AND(M2&lt;&gt;"",BC2="Anions"),H2/60.08*BE2/(H2*2/60.08+I2*2/79.88+J2*3/101.96+K2*3/151.99+L2*3/159.69+M2/71.85+O2/70.94+P2/40.3+Q2/74.69+R2/81.38+S2/56.08+T2/61.98+U2/94.2+V2*5/141.944522+W2*3/80.06+X2/18.9984+Y2/35.453+AI2/44.01*2-AS2/12.011-AW2/32.065-2*AX2/32.065+AY2*3/32.065+AH2/18.01528),
IF(AND(M2&lt;&gt;"",BC2="mol/kg"),H2/60.08*10*100/AP2,
IF(AND(M2="",BC2="mol/kg"),H2/60.08*10*100/AP2,
IF(AND(M2="",BC2="Anions"),H2/60.08*BE2/(H2*2/60.08+I2*2/79.88+J2*3/101.96+K2*3/151.99+L2*3/159.69+N2/71.85+O2/70.94+P2/40.3+Q2/74.69+R2/81.38+S2/56.08+T2/61.98+U2/94.2+V2*5/141.944522+W2*3/80.06+X2/18.9984+Y2/35.453+AI2/44.01*2-AS2/12.011-AW2/32.065-2*AX2/32.065+AY2*3/32.065+AH2/18.01528),
))))</f>
        <v>24.879824374442819</v>
      </c>
      <c r="BJ2" s="76">
        <f t="shared" ref="BJ2:BJ15" si="15">IF(AND(M2&lt;&gt;"",BC2="Anions"),I2/79.88*BE2/(H2*2/60.08+I2*2/79.88+J2*3/101.96+K2*3/151.99+L2*3/159.69+M2/71.85+O2/70.94+P2/40.3+Q2/74.69+R2/81.38+S2/56.08+T2/61.98+U2/94.2+V2*5/141.944522+W2*3/80.06+X2/18.9984+Y2/35.453+AI2/44.01*2-AS2/12.011-AW2/32.065-2*AX2/32.065+AY2*3/32.065+AH2/18.01528),
IF(AND(M2&lt;&gt;"",BC2="mol/kg"),I2/79.88*10*100/AP2,
IF(AND(M2="",BC2="mol/kg"),I2/79.88*10*100/AP2,
IF(AND(M2="",BC2="Anions"),I2/79.88*BE2/(H2*2/60.08+I2*2/79.88+J2*3/101.96+K2*3/151.99+L2*3/159.69+N2/71.85+O2/70.94+P2/40.3+Q2/74.69+R2/81.38+S2/56.08+T2/61.98+U2/94.2+V2*5/141.944522+W2*3/80.06+X2/18.9984+Y2/35.453+AI2/44.01*2-AS2/12.011-AW2/32.065-2*AX2/32.065+AY2*3/32.065+AH2/18.01528),
))))</f>
        <v>0</v>
      </c>
      <c r="BK2" s="76">
        <f t="shared" ref="BK2:BK15" si="16">IF(AND(M2&lt;&gt;"",BC2="Anions"),2*J2/101.96*BE2/(H2*2/60.08+I2*2/79.88+J2*3/101.96+K2*3/151.99+L2*3/159.69+M2/71.85+O2/70.94+P2/40.3+Q2/74.69+R2/81.38+S2/56.08+T2/61.98+U2/94.2+V2*5/141.944522+W2*3/80.06+X2/18.9984+Y2/35.453+AI2/44.01*2-AS2/12.011-AW2/32.065-2*AX2/32.065+AY2*3/32.065+AH2/18.01528),
IF(AND(M2&lt;&gt;"",BC2="mol/kg"),2*J2/101.96*10*100/AP2,
IF(AND(M2="",BC2="mol/kg"),2*J2/101.96*10*100/AP2,
IF(AND(M2="",BC2="Anions"),2*J2/101.96*BE2/(H2*2/60.08+I2*2/79.88+J2*3/101.96+K2*3/151.99+L2*3/159.69+N2/71.85+O2/70.94+P2/40.3+Q2/74.69+R2/81.38+S2/56.08+T2/61.98+U2/94.2+V2*5/141.944522+W2*3/80.06+X2/18.9984+Y2/35.453+AI2/44.01*2-AS2/12.011-AW2/32.065-2*AX2/32.065+AY2*3/32.065+AH2/18.01528),
))))</f>
        <v>0</v>
      </c>
      <c r="BL2" s="76">
        <f t="shared" ref="BL2:BL15" si="17">IF(AND(M2&lt;&gt;"",BC2="Anions"),2*K2/151.99*BE2/(H2*2/60.08+I2*2/79.88+J2*3/101.96+K2*3/151.99+L2*3/159.69+M2/71.85+O2/70.94+P2/40.3+Q2/74.69+R2/81.38+S2/56.08+T2/61.98+U2/94.2+V2*5/141.944522+W2*3/80.06+X2/18.9984+Y2/35.453+AI2/44.01*2-AS2/12.011-AW2/32.065-2*AX2/32.065+AY2*3/32.065+AH2/18.01528),
IF(AND(M2&lt;&gt;"",BC2="mol/kg"),2*K2/151.99*10*100/AP2,
IF(AND(M2="",BC2="mol/kg"),2*K2/151.99*10*100/AP2,
IF(AND(M2="",BC2="Anions"),2*K2/151.99*BE2/(H2*2/60.08+I2*2/79.88+J2*3/101.96+K2*3/151.99+L2*3/159.69+N2/71.85+O2/70.94+P2/40.3+Q2/74.69+R2/81.38+S2/56.08+T2/61.98+U2/94.2+V2*5/141.944522+W2*3/80.06+X2/18.9984+Y2/35.453+AI2/44.01*2-AS2/12.011-AW2/32.065-2*AX2/32.065+AY2*3/32.065+AH2/18.01528),
))))</f>
        <v>0</v>
      </c>
      <c r="BM2" s="76">
        <f t="shared" ref="BM2:BM15" si="18">IF(AND(M2&lt;&gt;"",BC2="Anions"),M2/71.85*BE2/(H2*2/60.08+I2*2/79.88+J2*3/101.96+K2*3/151.99+L2*3/159.69+M2/71.85+O2/70.94+P2/40.3+Q2/74.69+R2/81.38+S2/56.08+T2/61.98+U2/94.2+V2*5/141.944522+W2*3/80.06+X2/18.9984+Y2/35.453+AI2/44.01*2-AS2/12.011-AW2/32.065-2*AX2/32.065+AY2*3/32.065+AH2/18.01528),
IF(AND(M2&lt;&gt;"",BC2="mol/kg"),(M2/71.85+L2*2/159.69)*10*100/AP2,
IF(AND(M2="",BC2="mol/kg"),(N2/71.85)*10*100/AP2,
IF(AND(M2="",BC2="Anions"),N2/71.85*BE2/(H2*2/60.08+I2*2/79.88+J2*3/101.96+K2*3/151.99+L2*3/159.69+N2/71.85+O2/70.94+P2/40.3+Q2/74.69+R2/81.38+S2/56.08+T2/61.98+U2/94.2+V2*5/141.944522+W2*3/80.06+X2/18.9984+Y2/35.453+AI2/44.01*2-AS2/12.011-AW2/32.065-2*AX2/32.065+AY2*3/32.065+AH2/18.01528),
))))</f>
        <v>0.4871030965961875</v>
      </c>
      <c r="BN2" s="77">
        <f t="shared" ref="BN2:BN15" si="19">IF(AND(M2&lt;&gt;"",BC2="Anions"),L2*2/159.69*BE2/(H2*2/60.08+I2*2/79.88+J2*3/101.96+K2*3/151.99+L2*3/159.69+M2/71.85+O2/70.94+P2/40.3+Q2/74.69+R2/81.38+S2/56.08+T2/61.98+U2/94.2+V2*5/141.944522+W2*3/80.06+X2/18.9984+Y2/35.453+AI2/44.01*2-AS2/12.011-AW2/32.065-2*AX2/32.065+AY2*3/32.065+AH2/18.01528),
IF(AND(M2&lt;&gt;"",BC2="mol/kg"),"-",
IF(AND(M2="",BC2="mol/kg"),"-",
IF(AND(M2="",BC2="Anions"),L2*2/159.69*BE2/(H2*2/60.08+I2*2/79.88+J2*3/101.96+K2*3/151.99+L2*3/159.69+N2/71.85+O2/70.94+P2/40.3+Q2/74.69+R2/81.38+S2/56.08+T2/61.98+U2/94.2+V2*5/141.944522+W2*3/80.06+X2/18.9984+Y2/35.453+AI2/44.01*2-AS2/12.011-AW2/32.065-2*AX2/32.065+AY2*3/32.065+AH2/18.01528),
))))</f>
        <v>0</v>
      </c>
      <c r="BO2" s="76">
        <f t="shared" ref="BO2:BO15" si="20">IF(AND(M2&lt;&gt;"",BC2="Anions"),O2/70.94*BE2/(H2*2/60.08+I2*2/79.88+J2*3/101.96+K2*3/151.99+L2*3/159.69+M2/71.85+O2/70.94+P2/40.3+Q2/74.69+R2/81.38+S2/56.08+T2/61.98+U2/94.2+V2*5/141.944522+W2*3/80.06+X2/18.9984+Y2/35.453+AI2/44.01*2-AS2/12.011-AW2/32.065-2*AX2/32.065+AY2*3/32.065+AH2/18.01528),
IF(AND(M2&lt;&gt;"",BC2="mol/kg"),O2/70.94*10*100/AP2,
IF(AND(M2="",BC2="mol/kg"),O2/70.94*10*100/AP2,
IF(AND(M2="",BC2="Anions"),O2/70.94*BE2/(H2*2/60.08+I2*2/79.88+J2*3/101.96+K2*3/151.99+L2*3/159.69+N2/71.85+O2/70.94+P2/40.3+Q2/74.69+R2/81.38+S2/56.08+T2/61.98+U2/94.2+V2*5/141.944522+W2*3/80.06+X2/18.9984+Y2/35.453+AI2/44.01*2-AS2/12.011-AW2/32.065-2*AX2/32.065+AY2*3/32.065+AH2/18.01528),
))))</f>
        <v>0</v>
      </c>
      <c r="BP2" s="76">
        <f t="shared" ref="BP2:BP15" si="21">IF(AND(M2&lt;&gt;"",BC2="Anions"),P2/40.3*BE2/(H2*2/60.08+I2*2/79.88+J2*3/101.96+K2*3/151.99+L2*3/159.69+M2/71.85+O2/70.94+P2/40.3+Q2/74.69+R2/81.38+S2/56.08+T2/61.98+U2/94.2+V2*5/141.944522+W2*3/80.06+X2/18.9984+Y2/35.453+AI2/44.01*2-AS2/12.011-AW2/32.065-2*AX2/32.065+AY2*3/32.065+AH2/18.01528),
IF(AND(M2&lt;&gt;"",BC2="mol/kg"),P2/40.3*10*100/AP2,
IF(AND(M2="",BC2="mol/kg"),P2/40.3*10*100/AP2,
IF(AND(M2="",BC2="Anions"),P2/40.3*BE2/(H2*2/60.08+I2*2/79.88+J2*3/101.96+K2*3/151.99+L2*3/159.69+N2/71.85+O2/70.94+P2/40.3+Q2/74.69+R2/81.38+S2/56.08+T2/61.98+U2/94.2+V2*5/141.944522+W2*3/80.06+X2/18.9984+Y2/35.453+AI2/44.01*2-AS2/12.011-AW2/32.065-2*AW2/32.065+AW2*3/32.065+AH2/18.01528),
))))</f>
        <v>49.753248154518175</v>
      </c>
      <c r="BQ2" s="76">
        <f t="shared" ref="BQ2:BQ15" si="22">IF(AND(M2&lt;&gt;"",BC2="Anions"),Q2/74.69*BE2/(H2*2/60.08+I2*2/79.88+J2*3/101.96+K2*3/151.99+L2*3/159.69+M2/71.85+O2/70.94+P2/40.3+Q2/74.69+R2/81.38+S2/56.08+T2/61.98+U2/94.2+V2*5/141.944522+W2*3/80.06+X2/18.9984+Y2/35.453+AI2/44.01*2-AS2/12.011-AW2/32.065-2*AX2/32.065+AY2*3/32.065+AH2/18.01528),
IF(AND(M2&lt;&gt;"",BC2="mol/kg"),Q2/74.69*10*100/AP2,
IF(AND(M2="",BC2="mol/kg"),Q2/74.69*10*100/AP2,
IF(AND(M2="",BC2="Anions"),Q2/74.69*BE2/(H2*2/60.08+I2*2/79.88+J2*3/101.96+K2*3/151.99+L2*3/159.69+N2/71.85+O2/70.94+P2/40.3+Q2/74.69+R2/81.38+S2/56.08+T2/61.98+U2/94.2+V2*5/141.944522+W2*3/80.06+X2/18.9984+Y2/35.453+AI2/44.01*2-AS2/12.011-AW2/32.065-2*AX2/32.065+AY2*3/32.065+AH2/18.01528),
))))</f>
        <v>0</v>
      </c>
      <c r="BR2" s="76">
        <f t="shared" ref="BR2:BR15" si="23">IF(AND(M2&lt;&gt;"",BC2="Anions"),R2/81.38*BE2/(H2*2/60.08+I2*2/79.88+J2*3/101.96+K2*3/151.99+L2*3/159.69+M2/71.85+O2/70.94+P2/40.3+Q2/74.69+R2/81.38+S2/56.08+T2/61.98+U2/94.2+V2*5/141.944522+W2*3/80.06+X2/18.9984+Y2/35.453+AI2/44.01*2-AS2/12.011-AW2/32.065-2*AX2/32.065+AY2*3/32.065+AH2/18.01528),
IF(AND(M2&lt;&gt;"",BC2="mol/kg"),R2/81.38*10*100/AP2,
IF(AND(M2="",BC2="mol/kg"),R2/81.38*10*100/AP2,
IF(AND(M2="",BC2="Anions"),R2/81.38*BE2/(H2*2/60.08+I2*2/79.88+J2*3/101.96+K2*3/151.99+L2*3/159.69+N2/71.85+O2/70.94+P2/40.3+Q2/74.69+R2/81.38+S2/56.08+T2/61.98+U2/94.2+V2*5/141.944522+W2*3/80.06+X2/18.9984+Y2/35.453+AI2/44.01*2-AS2/12.011-AW2/32.065-2*AX2/32.065+AY2*3/32.065+AH2/18.01528),
))))</f>
        <v>0</v>
      </c>
      <c r="BS2" s="76">
        <f t="shared" ref="BS2:BS15" si="24">IF(AND(M2&lt;&gt;"",BC2="Anions"),S2/56.08*BE2/(H2*2/60.08+I2*2/79.88+J2*3/101.96+K2*3/151.99+L2*3/159.69+M2/71.85+O2/70.94+P2/40.3+Q2/74.69+R2/81.38+S2/56.08+T2/61.98+U2/94.2+V2*5/141.944522+W2*3/80.06+X2/18.9984+Y2/35.453+AI2/44.01*2-AS2/12.011-AW2/32.065-2*AX2/32.065+AY2*3/32.065+AH2/18.01528),
IF(AND(M2&lt;&gt;"",BC2="mol/kg"),S2/56.08*10*100/AP2,
IF(AND(M2="",BC2="mol/kg"),S2/56.08*10*100/AP2,
IF(AND(M2="",BC2="Anions"),S2/56.08*BE2/(H2*2/60.08+I2*2/79.88+J2*3/101.96+K2*3/151.99+L2*3/159.69+N2/71.85+O2/70.94+P2/40.3+Q2/74.69+R2/81.38+S2/56.08+T2/61.98+U2/94.2+V2*5/141.944522+W2*3/80.06+X2/18.9984+Y2/35.453+AI2/44.01*2-AS2/12.011-AW2/32.065-2*AW2/32.065+AW2*3/32.065+AH2/18.01528),
))))</f>
        <v>0</v>
      </c>
      <c r="BT2" s="76">
        <f t="shared" ref="BT2:BT15" si="25">IF(AND(M2&lt;&gt;"",BC2="Anions"),2*T2/61.98*BE2/(H2*2/60.08+I2*2/79.88+J2*3/101.96+K2*3/151.99+L2*3/159.69+M2/71.85+O2/70.94+P2/40.3+Q2/74.69+R2/81.38+S2/56.08+T2/61.98+U2/94.2+V2*5/141.944522+W2*3/80.06+X2/18.9984+Y2/35.453+AI2/44.01*2-AS2/12.011-AW2/32.065-2*AX2/32.065+AY2*3/32.065+AH2/18.01528),
IF(AND(M2&lt;&gt;"",BC2="mol/kg"),2*T2/61.98*10*100/AP2,
IF(AND(M2="",BC2="mol/kg"),2*T2/61.98*10*100/AP2,
IF(AND(M2="",BC2="Anions"),2*T2/61.98*BE2/(H2*2/60.08+I2*2/79.88+J2*3/101.96+K2*3/151.99+L2*3/159.69+N2/71.85+O2/70.94+P2/40.3+Q2/74.69+R2/81.38+S2/56.08+T2/61.98+U2/94.2+V2*5/141.944522+W2*3/80.06+X2/18.9984+Y2/35.453+AI2/44.01*2-AS2/12.011-AW2/32.065-2*AX2/32.065+AY2*3/32.065+AH2/18.01528),
))))</f>
        <v>0</v>
      </c>
      <c r="BU2" s="76">
        <f t="shared" ref="BU2:BU15" si="26">IF(AND(M2&lt;&gt;"",BC2="Anions"),2*U2/94.2*BE2/(H2*2/60.08+I2*2/79.88+J2*3/101.96+K2*3/151.99+L2*3/159.69+M2/71.85+O2/70.94+P2/40.3+Q2/74.69+R2/81.38+S2/56.08+T2/61.98+U2/94.2+V2*5/141.944522+W2*3/80.06+X2/18.9984+Y2/35.453+AI2/44.01*2-AS2/12.011-AW2/32.065-2*AX2/32.065+AY2*3/32.065+AH2/18.01528),
IF(AND(M2&lt;&gt;"",BC2="mol/kg"),2*U2/94.2*10*100/AP2,
IF(AND(M2="",BC2="mol/kg"),2*U2/94.2*10*100/AP2,
IF(AND(M2="",BC2="Anions"),2*U2/94.2*BE2/(H2*2/60.08+I2*2/79.88+J2*3/101.96+K2*3/151.99+L2*3/159.69+N2/71.85+O2/70.94+P2/40.3+Q2/74.69+R2/81.38+S2/56.08+T2/61.98+U2/94.2+V2*5/141.944522+W2*3/80.06+X2/18.9984+Y2/35.453+AI2/44.01*2-AS2/12.011-AW2/32.065-2*AX2/32.065+AY2*3/32.065+AH2/18.01528),
))))</f>
        <v>0</v>
      </c>
      <c r="BV2" s="76">
        <f t="shared" ref="BV2:BV15" si="27">IF(AND(M2&lt;&gt;"",BC2="Anions"),V2*2/141.944522*BE2/(H2*2/60.08+I2*2/79.88+J2*3/101.96+K2*3/151.99+L2*3/159.69+M2/71.85+O2/70.94+P2/40.3+Q2/74.69+R2/81.38+S2/56.08+T2/61.98+U2/94.2+V2*5/141.944522+W2*3/80.06+X2/18.9984+Y2/35.453+AI2/44.01*2-AS2/12.011-AW2/32.065-2*AX2/32.065+AY2*3/32.065+AH2/18.01528),
IF(AND(M2&lt;&gt;"",BC2="mol/kg"),V2*2/141.944522*10*100/AP2,
IF(AND(M2="",BC2="mol/kg"),V2*2/141.944522*10*100/AP2,
IF(AND(M2="",BC2="Anions"),V2*2/141.944522*BE2/(H2*2/60.08+I2*2/79.88+J2*3/101.96+K2*3/151.99+L2*3/159.69+N2/71.85+O2/70.94+P2/40.3+Q2/74.69+R2/81.38+S2/56.08+T2/61.98+U2/94.2+V2*5/141.944522+W2*3/80.06+X2/18.9984+Y2/35.453+AI2/44.01*2-AS2/12.011-AW2/32.065-2*AX2/32.065+AY2*3/32.065+AH2/18.01528),
))))</f>
        <v>0</v>
      </c>
      <c r="BW2" s="76">
        <f t="shared" ref="BW2:BW15" si="28">IF(AND(M2&lt;&gt;"",BC2="Anions"),(AI2/44.01+AJ2/12.011)*BE2/(H2*2/60.08+I2*2/79.88+J2*3/101.96+K2*3/151.99+L2*3/159.69+M2/71.85+O2/70.94+P2/40.3+Q2/74.69+R2/81.38+S2/56.08+T2/61.98+U2/94.2+V2*5/141.944522+W2*3/80.06+X2/18.9984+Y2/35.453+AI2/44.01*2-AS2/12.011-AW2/32.065-2*AX2/32.065+AY2*3/32.065+AH2/18.01528),
IF(AND(M2&lt;&gt;"",BC2="mol/kg"),(AI2*(12.011/(12.011+31.999))+AJ2)/12.011*10*100/AP2,
IF(AND(M2="",BC2="mol/kg"),(AI2*(12.011/(12.011+31.999))+AJ2)/12.011*10*100/AP2,
IF(AND(M2="",BC2="Anions"),(AI2/44.01+AJ2/12.011)*BE2/(H2*2/60.08+I2*2/79.88+J2*3/101.96+K2*3/151.99+L2*3/159.69+N2/71.85+O2/70.94+P2/40.3+Q2/74.69+R2/81.38+S2/56.08+T2/61.98+U2/94.2+V2*5/141.944522+W2*3/80.06+X2/18.9984+Y2/35.453+AI2/44.01*2-AS2/12.011-AW2/32.065-2*AX2/32.065+AY2*3/32.065+AH2/18.01528),
))))</f>
        <v>0</v>
      </c>
      <c r="BX2" s="76">
        <f t="shared" ref="BX2:BX15" si="29">IF(AND(M2&lt;&gt;"",BC2="Anions"),W2/32.06/2*BE2/(H2*2/60.08+I2*2/79.88+J2*3/101.96+K2*3/151.99+L2*3/159.69+M2/71.85+O2/70.94+P2/40.3+Q2/74.69+R2/81.38+S2/56.08+T2/61.98+U2/94.2+V2*5/141.944522+W2*3/80.06+X2/18.9984+Y2/35.453+AI2/44.01*2-AS2/12.011-AW2/32.065-2*AX2/32.065+AY2*3/32.065+AH2/18.01528),
IF(AND(M2&lt;&gt;"",BC2="mol/kg"),W2/32.06/2*10*100/AP2,
IF(AND(M2="",BC2="mol/kg"),W2/32.06/2*10*100/AP2,
IF(AND(M2="",BC2="Anions"),W2/32.06/2*BE2/(H2*2/60.08+I2*2/79.88+J2*3/101.96+K2*3/151.99+L2*3/159.69+N2/71.85+O2/70.94+P2/40.3+Q2/74.69+R2/81.38+S2/56.08+T2/61.98+U2/94.2+V2*5/141.944522+W2*3/80.06+X2/18.9984+Y2/35.453+AI2/44.01*2-AS2/12.011-AW2/32.065-2*AX2/32.065+AY2*3/32.065+AH2/18.01528),
))))</f>
        <v>0</v>
      </c>
      <c r="BY2" s="78">
        <f t="shared" ref="BY2:BY15" si="30">IF(AND(M2&lt;&gt;"",BC2="Anions"),X2/18.9984*BE2/(H2*2/60.08+I2*2/79.88+J2*3/101.96+K2*3/151.99+L2*3/159.69+M2/71.85+O2/70.94+P2/40.3+Q2/74.69+R2/81.38+S2/56.08+T2/61.98+U2/94.2+V2*5/141.944522+W2*3/80.06+X2/18.9984+Y2/35.453+AI2/44.01*2-AS2/12.011-AW2/32.065-2*AX2/32.065+AY2*3/32.065+AH2/18.01528),
IF(AND(M2&lt;&gt;"",BC2="mol/kg"),X2/18.9984*10*100/AP2,
IF(AND(M2="",BC2="mol/kg"),X2/18.9984*10*100/AP2,
IF(AND(M2="",BC2="Anions"),X2/18.9984*BE2/(H2*2/60.08+I2*2/79.88+J2*3/101.96+K2*3/151.99+L2*3/159.69+N2/71.85+O2/70.94+P2/40.3+Q2/74.69+R2/81.38+S2/56.08+T2/61.98+U2/94.2+V2*5/141.944522+W2*3/80.06+X2/18.9984+Y2/35.453+AI2/44.01*2-AS2/12.011-AW2/32.065-2*AX2/32.065+AY2*3/32.065+AH2/18.01528),
))))</f>
        <v>0</v>
      </c>
      <c r="BZ2" s="76">
        <f t="shared" ref="BZ2:BZ15" si="31">IF(AND(M2&lt;&gt;"",BC2="Anions"),Y2/35.453*BE2/(H2*2/60.08+I2*2/79.88+J2*3/101.96+K2*3/151.99+L2*3/159.69+M2/71.85+O2/70.94+P2/40.3+Q2/74.69+R2/81.38+S2/56.08+T2/61.98+U2/94.2+V2*5/141.944522+W2*3/80.06+X2/18.9984+Y2/35.453+AI2/44.01*2-AS2/12.011-AW2/32.065-2*AX2/32.065+AY2*3/32.065+AH2/18.01528),
IF(AND(M2&lt;&gt;"",BC2="mol/kg"),Y2/35.453*10*100/AP2,
IF(AND(M2="",BC2="mol/kg"),Y2/35.453*10*100/AP2,
IF(AND(M2="",BC2="Anions"),Y2/35.453*BE2/(H2*2/60.08+I2*2/79.88+J2*3/101.96+K2*3/151.99+L2*3/159.69+N2/71.85+O2/70.94+P2/40.3+Q2/74.69+R2/81.38+S2/56.08+T2/61.98+U2/94.2+V2*5/141.944522+W2*3/80.06+X2/18.9984+Y2/35.453+AI2/44.01*2-AS2/12.011-AW2/32.065-2*AX2/32.065+AY2*3/32.065+AH2/18.01528),
))))</f>
        <v>0</v>
      </c>
      <c r="CA2" s="76">
        <f t="shared" ref="CA2:CA15" si="32">IF(AND(M2&lt;&gt;"",BC2="Anions"),AH2/18.01528*BE2/(H2*2/60.08+I2*2/79.88+J2*3/101.96+K2*3/151.99+L2*3/159.69+M2/71.85+O2/70.94+P2/40.3+Q2/74.69+R2/81.38+S2/56.08+T2/61.98+U2/94.2+V2*5/141.944522+W2*3/80.06+X2/18.9984+Y2/35.453+AI2/44.01*2-AS2/12.011-AW2/32.065-2*AX2/32.065+AY2*3/32.065+AH2/18.01528),
IF(AND(M2&lt;&gt;"",BC2="mol/kg"),AH2/18.01528*10*100/AP2,
IF(AND(M2="",BC2="mol/kg"),AH2/18.01528*10*100/AP2,
IF(AND(M2="",BC2="Anions"),AH2/18.01528*BE2/(H2*2/60.08+I2*2/79.88+J2*3/101.96+K2*3/151.99+L2*3/159.69+N2/71.85+O2/70.94+P2/40.3+Q2/74.69+R2/81.38+S2/56.08+T2/61.98+U2/94.2+V2*5/141.944522+W2*3/80.06+X2/18.9984+Y2/35.453+AI2/44.01*2-AS2/12.011-AW2/32.065-2*AX2/32.065+AY2*3/32.065+AH2/18.01528),
))))</f>
        <v>0</v>
      </c>
      <c r="CB2" s="76">
        <f t="shared" ref="CB2:CB15" si="33">IF(AND(M2&lt;&gt;"",BC2="Anions"),1/2*(BI2*2+BJ2*2+BK2*3/2+BL2*3/2+BM2+BN2*3/2+BO2+BP2+BQ2+BR2+BS2+BT2/2+BU2/2+BV2*5+BW2*2+CA2),
IF(AND(M2="",BC2="Anions"),1/2*(BI2*2+BJ2*2+BK2*3/2+BL2*3/2+BM2+BN2*3/2+BO2+BP2+BQ2+BR2+BS2+BT2/2+BU2/2+BV2*5+BW2*2+CA2),
IF(AND(M2&lt;&gt;"",BC2="mol/kg"),BI2+BJ2+BK2*3/4+BL2*3/4+AU2/55.845*10/2+AV2/55.845*10*3/4+BP2/2+BQ2/2+BR2/2+BS2/2+BT2/4+BU2/4+BV2*5/4+AT2/12*10-AW2/2/32.065*10-AX2/4/32.065*10+AY2/32.065*10*3/2+CA2/2,
IF(AND(M2="",BC2="mol/kg"),BI2+BJ2+BK2*3/4+BL2*3/4+AU2/55.845*10/2+AV2/55.845*10*3/4+BP2/2+BQ2/2+BR2/2+BS2/2+BT2/4+BU2/4+BV2*5/4+AT2/12*10-AW2/2/32.065*10-AX2/4/32.065*10+AY2/32.065*10*3/2+CA2/2,
))))</f>
        <v>50</v>
      </c>
      <c r="CC2" s="12">
        <f t="shared" ref="CC2:CC15" si="34">SUM(BI2:BW2,2*CA2)</f>
        <v>75.120175625557181</v>
      </c>
      <c r="CD2" s="12">
        <f t="shared" ref="CD2:CD15" si="35">IF(BC2="mol/kg",BY2+BZ2+2*CB2,
BI2*2+BJ2*2+BK2*3/2+BL2*3/2+BM2+BN2*3/2+BO2+BP2+BQ2+BR2+BS2+BT2/2+BU2/2+BV2*5+BW2*2 + BY2+BZ2+CA2
)</f>
        <v>100</v>
      </c>
      <c r="CE2" s="12"/>
      <c r="CF2" s="67" t="str">
        <f t="shared" ref="CF2:CF15" si="36">"mol % oxide O2"</f>
        <v>mol % oxide O2</v>
      </c>
      <c r="CG2" s="81">
        <f>IF((CF2="mol. % oxide O2"),H2/60.084*100/(H2/60.084+I2/79.866+J2/101.961+K2/151.99+M2/71.844+2*L2/159.69+O2/70.937+P2/40.304+Q2/74.693+R2/81.38+S2/56.077+T2/61.979+U2/94.196+AH2/18.015+1/2*L2/159.69),
IF((CF2="mol. % oxide O"),H2/60.084*100/(H2/60.084+I2/79.866+J2/101.961+K2/151.99+M2/71.844+2*L2/159.69+O2/70.937+P2/40.304+Q2/74.693+R2/81.38+S2/56.077+T2/61.979+U2/94.196+AH2/18.015+L2/159.69),
IF((CF2="mol. % oxide Fe2O3"),H2/60.084*100/(H2/60.084+I2/79.866+J2/101.961+K2/151.99+M2/71.844+L2/159.69+O2/70.937+P2/40.304+Q2/74.693+R2/81.38+S2/56.077+T2/61.979+U2/94.196+AH2/18.015),
IF((CF2="mineral oxide O2"),BI2,
IF((CF2=""),"",
)))))</f>
        <v>0</v>
      </c>
      <c r="CH2" s="81">
        <f>IF((CF2="mol. % oxide O2"),I2/79.866*100/(H2/60.084+I2/79.866+J2/101.961+K2/151.99+M2/71.844+2*L2/159.69+O2/70.937+P2/40.304+Q2/74.693+R2/81.38+S2/56.077+T2/61.979+U2/94.196+AH2/18.015+1/2*L2/159.69),
IF((CF2="mol. % oxide O"),I2/79.866*100/(H2/60.084+I2/79.866+J2/101.961+K2/151.99+M2/71.844+2*L2/159.69+O2/70.937+P2/40.304+Q2/74.693+R2/81.38+S2/56.077+T2/61.979+U2/94.196+AH2/18.015+L2/159.69),
IF((CF2="mol. % oxide Fe2O3"),I2/79.866*100/(H2/60.084+I2/79.866+J2/101.961+K2/151.99+M2/71.844+L2/159.69+O2/70.937+P2/40.304+Q2/74.693+R2/81.38+S2/56.077+T2/61.979+U2/94.196+AH2/18.015),
IF((CF2="mineral oxide O2"),BJ2,
IF((CF2=""),"",
)))))</f>
        <v>0</v>
      </c>
      <c r="CI2" s="81">
        <f>IF((CF2="mol. % oxide O2"),J2/101.961*100/(H2/60.084+I2/79.866+J2/101.961+K2/151.99+M2/71.844+2*L2/159.69+O2/70.937+P2/40.304+Q2/74.693+R2/81.38+S2/56.077+T2/61.979+U2/94.196+AH2/18.015+1/2*L2/159.69),
IF((CF2="mol. % oxide O"),J2/101.961*100/(H2/60.084+I2/79.866+J2/101.961+K2/151.99+M2/71.844+2*L2/159.69+O2/70.937+P2/40.304+Q2/74.693+R2/81.38+S2/56.077+T2/61.979+U2/94.196+AH2/18.015+L2/159.69),
IF((CF2="mol. % oxide Fe2O3"),J2/101.961*100/(H2/60.084+I2/79.866+J2/101.961+K2/151.99+M2/71.844+L2/159.69+O2/70.937+P2/40.304+Q2/74.693+R2/81.38+S2/56.077+T2/61.979+U2/94.196+AH2/18.015),
IF((CF2="mineral oxide O2"),BK2/2,
IF((CF2=""),"",
)))))</f>
        <v>0</v>
      </c>
      <c r="CJ2" s="81">
        <f>IF((CF2="mol. % oxide O2"),K2/151.99*100/(H2/60.084+I2/79.866+J2/101.961+K2/151.99+M2/71.844+2*L2/159.69+O2/70.937+P2/40.304+Q2/74.693+R2/81.38+S2/56.077+T2/61.979+U2/94.196+AH2/18.015+1/2*L2/159.69),
IF((CF2="mol. % oxide O"),K2/151.99*100/(H2/60.084+I2/79.866+J2/101.961+K2/151.99+M2/71.844+2*L2/159.69+O2/70.937+P2/40.304+Q2/74.693+R2/81.38+S2/56.077+T2/61.979+U2/94.196+AH2/18.015+L2/159.69),
IF((CF2="mol. % oxide Fe2O3"),K2/151.99*100/(H2/60.084+I2/79.866+J2/101.961+K2/151.99+M2/71.844+L2/159.69+O2/70.937+P2/40.304+Q2/74.693+R2/81.38+S2/56.077+T2/61.979+U2/94.196+AH2/18.015),
IF((CF2="mineral oxide O2"),BL2/2,
IF((CF2=""),"",
)))))</f>
        <v>0</v>
      </c>
      <c r="CK2" s="81">
        <f>IF((CF2="mol. % oxide O2"),(M2/71.844+2*L2/159.69)*100/(H2/60.084+I2/79.866+J2/101.961+K2/151.99+M2/71.844+2*L2/159.69+O2/70.937+P2/40.304+Q2/74.693+R2/81.38+S2/56.077+T2/61.979+U2/94.196+AH2/18.015+1/2*L2/159.69),
IF((CF2="mol. % oxide O"),(M2/71.844+2*L2/159.69)*100/(H2/60.084+I2/79.866+J2/101.961+K2/151.99+M2/71.844+2*L2/159.69+O2/70.937+P2/40.304+Q2/74.693+R2/81.38+S2/56.077+T2/61.979+U2/94.196+AH2/18.015+L2/159.69),
IF((CF2="mol. % oxide Fe2O3"),M2/71.844*100/(H2/60.084+I2/79.866+J2/101.961+K2/151.99+M2/71.844+L2/159.69+O2/70.937+P2/40.304+Q2/74.693+R2/81.38+S2/56.077+T2/61.979+U2/94.196+AH2/18.015),
IF((CF2="mineral oxide O2"),BN2+BM2,
IF((CF2=""),"",
)))))</f>
        <v>0</v>
      </c>
      <c r="CL2" s="81">
        <f>IF((CF2="mol. % oxide O2"),O2/70.937*100/(H2/60.084+I2/79.866+J2/101.961+K2/151.99+M2/71.844+2*L2/159.69+O2/70.937+P2/40.304+Q2/74.693+R2/81.38+S2/56.077+T2/61.979+U2/94.196+AH2/18.015+1/2*L2/159.69),
IF((CF2="mol. % oxide O"),O2/70.937*100/(H2/60.084+I2/79.866+J2/101.961+K2/151.99+M2/71.844+2*L2/159.69+O2/70.937+P2/40.304+Q2/74.693+R2/81.38+S2/56.077+T2/61.979+U2/94.196+AH2/18.015+L2/159.69),
IF((CF2="mol. % oxide Fe2O3"),O2/70.937*100/(H2/60.084+I2/79.866+J2/101.961+K2/151.99+M2/71.844+L2/159.69+O2/70.937+P2/40.304+Q2/74.693+R2/81.38+S2/56.077+T2/61.979+U2/94.196+AH2/18.015),
IF((CF2="mineral oxide O2"),BO2,
IF((CF2=""),"",
)))))</f>
        <v>0</v>
      </c>
      <c r="CM2" s="81">
        <f>IF((CF2="mol. % oxide O2"),P2/40.304*100/(H2/60.084+I2/79.866+J2/101.961+K2/151.99+M2/71.844+2*L2/159.69+O2/70.937+P2/40.304+Q2/74.693+R2/81.38+S2/56.077+T2/61.979+U2/94.196+AH2/18.015+1/2*L2/159.69),
IF((CF2="mol. % oxide O"),P2/40.304*100/(H2/60.084+I2/79.866+J2/101.961+K2/151.99+M2/71.844+2*L2/159.69+O2/70.937+P2/40.304+Q2/74.693+R2/81.38+S2/56.077+T2/61.979+U2/94.196+AH2/18.015+L2/159.69),
IF((CF2="mol. % oxide Fe2O3"),P2/40.304*100/(H2/60.084+I2/79.866+J2/101.961+K2/151.99+M2/71.844+L2/159.69+O2/70.937+P2/40.304+Q2/74.693+R2/81.38+S2/56.077+T2/61.979+U2/94.196+AH2/18.015),
IF((CF2="mineral oxide O2"),BP2,
IF((CF2=""),"",
)))))</f>
        <v>0</v>
      </c>
      <c r="CN2" s="81">
        <f>IF((CF2="mol. % oxide O2"),Q2/74.693*100/(H2/60.084+I2/79.866+J2/101.961+K2/151.99+M2/71.844+2*L2/159.69+O2/70.937+P2/40.304+Q2/74.693+R2/81.38+S2/56.077+T2/61.979+U2/94.196+AH2/18.015+1/2*L2/159.69),
IF((CF2="mol. % oxide O"),Q2/74.693*100/(H2/60.084+I2/79.866+J2/101.961+K2/151.99+M2/71.844+2*L2/159.69+O2/70.937+P2/40.304+Q2/74.693+R2/81.38+S2/56.077+T2/61.979+U2/94.196+AH2/18.015+L2/159.69),
IF((CF2="mol. % oxide Fe2O3"),Q2/74.693*100/(H2/60.084+I2/79.866+J2/101.961+K2/151.99+M2/71.844+L2/159.69+O2/70.937+P2/40.304+Q2/74.693+R2/81.38+S2/56.077+T2/61.979+U2/94.196+AH2/18.015),
IF((CF2="mineral oxide O2"),BQ2,
IF((CF2=""),"",
)))))</f>
        <v>0</v>
      </c>
      <c r="CO2" s="81">
        <f>IF((CF2="mol. % oxide O2"),R2/81.38*100/(H2/60.084+I2/79.866+J2/101.961+K2/151.99+M2/71.844+2*L2/159.69+O2/70.937+P2/40.304+Q2/74.693+R2/81.38+S2/56.077+T2/61.979+U2/94.196+AH2/18.015+1/2*L2/159.69),
IF((CF2="mol. % oxide O"),R2/81.38*100/(H2/60.084+I2/79.866+J2/101.961+K2/151.99+M2/71.844+2*L2/159.69+O2/70.937+P2/40.304+Q2/74.693+R2/81.38+S2/56.077+T2/61.979+U2/94.196+AH2/18.015+L2/159.69),
IF((CF2="mol. % oxide Fe2O3"),R2/81.38*100/(H2/60.084+I2/79.866+J2/101.961+K2/151.99+M2/71.844+L2/159.69+O2/70.937+P2/40.304+Q2/74.693+R2/81.38+S2/56.077+T2/61.979+U2/94.196+AH2/18.015),
IF((CF2="mineral oxide O2"),BR2,
IF((CF2=""),"",
)))))</f>
        <v>0</v>
      </c>
      <c r="CP2" s="81">
        <f>IF((CF2="mol. % oxide O2"),S2/56.077*100/(H2/60.084+I2/79.866+J2/101.961+K2/151.99+M2/71.844+2*L2/159.69+O2/70.937+P2/40.304+Q2/74.693+R2/81.38+S2/56.077+T2/61.979+U2/94.196+AH2/18.015+1/2*L2/159.69),
IF((CF2="mol. % oxide O"),S2/56.077*100/(H2/60.084+I2/79.866+J2/101.961+K2/151.99+M2/71.844+2*L2/159.69+O2/70.937+P2/40.304+Q2/74.693+R2/81.38+S2/56.077+T2/61.979+U2/94.196+AH2/18.015+L2/159.69),
IF((CF2="mol. % oxide Fe2O3"),S2/56.077*100/(H2/60.084+I2/79.866+J2/101.961+K2/151.99+M2/71.844+L2/159.69+O2/70.937+P2/40.304+Q2/74.693+R2/81.38+S2/56.077+T2/61.979+U2/94.196+AH2/18.015),
IF((CF2="mineral oxide O2"),BS2,
IF((CF2=""),"",
)))))</f>
        <v>0</v>
      </c>
      <c r="CQ2" s="81">
        <f>IF((CF2="mol. % oxide O2"),T2/61.979*100/(H2/60.084+I2/79.866+J2/101.961+K2/151.99+M2/71.844+2*L2/159.69+O2/70.937+P2/40.304+Q2/74.693+R2/81.38+S2/56.077+T2/61.979+U2/94.196+AH2/18.015+1/2*L2/159.69),
IF((CF2="mol. % oxide O"),T2/61.979*100/(H2/60.084+I2/79.866+J2/101.961+K2/151.99+M2/71.844+2*L2/159.69+O2/70.937+P2/40.304+Q2/74.693+R2/81.38+S2/56.077+T2/61.979+U2/94.196+AH2/18.015+L2/159.69),
IF((CF2="mol. % oxide Fe2O3"),T2/61.979*100/(H2/60.084+I2/79.866+J2/101.961+K2/151.99+M2/71.844+L2/159.69+O2/70.937+P2/40.304+Q2/74.693+R2/81.38+S2/56.077+T2/61.979+U2/94.196+AH2/18.015),
IF((CF2="mineral oxide O2"),BT2/2,
IF((CF2=""),"",
)))))</f>
        <v>0</v>
      </c>
      <c r="CR2" s="81">
        <f>IF((CF2="mol. % oxide O2"),U2/94.196*100/(H2/60.084+I2/79.866+J2/101.961+K2/151.99+M2/71.844+2*L2/159.69+O2/70.937+P2/40.304+Q2/74.693+R2/81.38+S2/56.077+T2/61.979+U2/94.196+AH2/18.015+1/2*L2/159.69),
IF((CF2="mol. % oxide O"),U2/94.196*100/(H2/60.084+I2/79.866+J2/101.961+K2/151.99+M2/71.844+2*L2/159.69+O2/70.937+P2/40.304+Q2/74.693+R2/81.38+S2/56.077+T2/61.979+U2/94.196+AH2/18.015+L2/159.69),
IF((CF2="mol. % oxide Fe2O3"),U2/94.196*100/(H2/60.084+I2/79.866+J2/101.961+K2/151.99+M2/71.844+L2/159.69+O2/70.937+P2/40.304+Q2/74.693+R2/81.38+S2/56.077+T2/61.979+U2/94.196+AH2/18.015),
IF((CF2="mineral oxide O2"),BU2/2,
IF((CF2=""),"",
)))))</f>
        <v>0</v>
      </c>
      <c r="CS2" s="81">
        <f>IF((CF2="mol. % oxide O2"),V2/141.943*100/(H2/60.084+I2/79.866+J2/101.961+K2/151.99+M2/71.844+2*L2/159.69+O2/70.937+P2/40.304+Q2/74.693+R2/81.38+S2/56.077+T2/61.979+U2/94.196+AH2/18.015+1/2*L2/159.69),
IF((CF2="mol. % oxide O"),V2/141.943*100/(H2/60.084+I2/79.866+J2/101.961+K2/151.99+M2/71.844+2*L2/159.69+O2/70.937+P2/40.304+Q2/74.693+R2/81.38+S2/56.077+T2/61.979+U2/94.196+AH2/18.015+L2/159.69),
IF((CF2="mol. % oxide Fe2O3"),V2/141.943*100/(H2/60.084+I2/79.866+J2/101.961+K2/151.99+M2/71.844+L2/159.69+O2/70.937+P2/40.304+Q2/74.693+R2/81.38+S2/56.077+T2/61.979+U2/94.196+AH2/18.015),
IF((CF2="mineral oxide O2"),BV2/2,
IF((CF2=""),"",
)))))</f>
        <v>0</v>
      </c>
      <c r="CT2" s="81">
        <f>IF((CF2="mol. % oxide O2"),AI2/44.01*100/(H2/60.084+I2/79.866+J2/101.961+K2/151.99+M2/71.844+2*L2/159.69+O2/70.937+P2/40.304+Q2/74.693+R2/81.38+S2/56.077+T2/61.979+U2/94.196+AH2/18.015+1/2*L2/159.69+AI2/44.01+W2/80.06/2+X2/20/2+Y2/2/35.453),
IF((CF2="mol. % oxide O"),AI2/44.01*100/(H2/60.084+I2/79.866+J2/101.961+K2/151.99+M2/71.844+2*L2/159.69+O2/70.937+P2/40.304+Q2/74.693+R2/81.38+S2/56.077+T2/61.979+U2/94.196+AH2/18.015+L2/159.69+AI2/44.01+W2/80.06/2+X2/20/2+Y2/2/35.453),
IF((CF2="mol. % oxide Fe2O3"),AI2/44.01*100/(H2/60.084+I2/79.866+J2/101.961+K2/151.99+M2/71.844+L2/159.69+O2/70.937+P2/40.304+Q2/74.693+R2/81.38+S2/56.077+T2/61.979+U2/94.196+AH2/18.015+AI2/44.01+W2/80.06/2+X2/20/2+Y2/2/35.453),
IF((CF2="mineral oxide O2"),BW2,
IF((CF2=""),"",
)))))</f>
        <v>0</v>
      </c>
      <c r="CU2" s="81">
        <f>IF((CF2="mol. % oxide O2"),W2/80.06/2*100/(H2/60.084+I2/79.866+J2/101.961+K2/151.99+M2/71.844+2*L2/159.69+O2/70.937+P2/40.304+Q2/74.693+R2/81.38+S2/56.077+T2/61.979+U2/94.196+AH2/18.015+1/2*L2/159.69+AI2/44.01+W2/80.06/2+X2/20/2+Y2/2/35.453),
IF((CF2="mol. % oxide O"),W2/80.06/2*100/(H2/60.084+I2/79.866+J2/101.961+K2/151.99+M2/71.844+2*L2/159.69+O2/70.937+P2/40.304+Q2/74.693+R2/81.38+S2/56.077+T2/61.979+U2/94.196+AH2/18.015+L2/159.69+AI2/44.01+W2/80.06/2+X2/20/2+Y2/2/35.453),
IF((CF2="mol. % oxide Fe2O3"),W2/80.06/2*100/(H2/60.084+I2/79.866+J2/101.961+K2/151.99+M2/71.844+L2/159.69+O2/70.937+P2/40.304+Q2/74.693+R2/81.38+S2/56.077+T2/61.979+U2/94.196+AH2/18.015+AI2/44.01+W2/80.06/2+X2/20/2+Y2/2/35.453),
IF((CF2="mineral oxide O2"),BW2,
IF((CF2=""),"",
)))))</f>
        <v>0</v>
      </c>
      <c r="CV2" s="81">
        <f>IF((CF2="mol. % oxide O2"),X2/2/20*100/(H2/60.084+I2/79.866+J2/101.961+K2/151.99+M2/71.844+2*L2/159.69+O2/70.937+P2/40.304+Q2/74.693+R2/81.38+S2/56.077+T2/61.979+U2/94.196+AH2/18.015+1/2*L2/159.69+AI2/44.01+W2/80.06/2+X2/20/2+Y2/2/35.453),
IF((CF2="mol. % oxide O"),X2/2/20*100/(H2/60.084+I2/79.866+J2/101.961+K2/151.99+M2/71.844+2*L2/159.69+O2/70.937+P2/40.304+Q2/74.693+R2/81.38+S2/56.077+T2/61.979+U2/94.196+AH2/18.015+L2/159.69+AI2/44.01+W2/80.06/2+X2/20/2+Y2/2/35.453),
IF((CF2="mol. % oxide Fe2O3"),X2/2/20*100/(H2/60.084+I2/79.866+J2/101.961+K2/151.99+M2/71.844+L2/159.69+O2/70.937+P2/40.304+Q2/74.693+R2/81.38+S2/56.077+T2/61.979+U2/94.196+AH2/18.015+AI2/44.01+W2/80.06/2+X2/20/2+Y2/2/35.453),
IF((CF2="mineral oxide O2"),BY2,
IF((CF2=""),"",
)))))</f>
        <v>0</v>
      </c>
      <c r="CW2" s="81">
        <f>IF((CF2="mol. % oxide O2"),Y2/2/35.453*100/(H2/60.084+I2/79.866+J2/101.961+K2/151.99+M2/71.844+2*L2/159.69+O2/70.937+P2/40.304+Q2/74.693+R2/81.38+S2/56.077+T2/61.979+U2/94.196+AH2/18.015+1/2*L2/159.69+AI2/44.01+W2/80.06/2+X2/20/2+Y2/2/35.453),
IF((CF2="mol. % oxide O"),Y2/2/35.453*100/(H2/60.084+I2/79.866+J2/101.961+K2/151.99+M2/71.844+2*L2/159.69+O2/70.937+P2/40.304+Q2/74.693+R2/81.38+S2/56.077+T2/61.979+U2/94.196+AH2/18.015+L2/159.69+AI2/44.01+W2/80.06/2+X2/20/2+Y2/2/35.453),
IF((CF2="mol. % oxide Fe2O3"),Y2/2/35.453*100/(H2/60.084+I2/79.866+J2/101.961+K2/151.99+M2/71.844+L2/159.69+O2/70.937+P2/40.304+Q2/74.693+R2/81.38+S2/56.077+T2/61.979+U2/94.196+AH2/18.015+AI2/44.01+W2/80.06/2+X2/20/2+Y2/2/35.453),
IF((CF2="mineral oxide O2"),BZ2,
IF((CF2=""),"",
)))))</f>
        <v>0</v>
      </c>
      <c r="CX2" s="81">
        <f>IF((CF2="mol. % oxide O2"),AH2/18.015*100/(H2/60.084+I2/79.866+J2/101.961+K2/151.99+M2/71.844+2*L2/159.69+O2/70.937+P2/40.304+Q2/74.693+R2/81.38+S2/56.077+T2/61.979+U2/94.196+AH2/18.015+1/2*L2/159.69),
IF((CF2="mol. % oxide O"),AH2/18.015*100/(H2/60.084+I2/79.866+J2/101.961+K2/151.99+M2/71.844+2*L2/159.69+O2/70.937+P2/40.304+Q2/74.693+R2/81.38+S2/56.077+T2/61.979+U2/94.196+AH2/18.015+L2/159.69),
IF((CF2="mol. % oxide Fe2O3"),AH2/18.015*100/(H2/60.084+I2/79.866+J2/101.961+K2/151.99+M2/71.844+L2/159.69+O2/70.937+P2/40.304+Q2/74.693+R2/81.38+S2/56.077+T2/61.979+U2/94.196+AH2/18.015),
IF((CF2="mineral oxide O2"),CA2,
IF((CF2=""),"",
)))))</f>
        <v>0</v>
      </c>
      <c r="CY2" s="81">
        <f>IF((CF2="mol. % oxide O2"),1/2*L2/159.69*100/(H2/60.084+I2/79.866+J2/101.961+K2/151.99+M2/71.844+2*L2/159.69+O2/70.937+P2/40.304+Q2/74.693+R2/81.38+S2/56.077+T2/61.979+U2/94.196+AH2/18.015+1/2*L2/159.69),
IF((CF2="mol. % oxide O"),L2/159.69*100/(H2/60.084+I2/79.866+J2/101.961+K2/151.99+M2/71.844+2*L2/159.69+O2/70.937+P2/40.304+Q2/74.693+R2/81.38+S2/56.077+T2/61.979+U2/94.196+AH2/18.015+L2/159.69),
IF((CF2="mol. % oxide Fe2O3"),L2/159.69*100/(H2/60.084+I2/79.866+J2/101.961+K2/151.99+M2/71.844+L2/159.69+O2/70.937+P2/40.304+Q2/74.693+R2/81.38+S2/56.077+T2/61.979+U2/94.196+AH2/18.015),
IF((CF2="mineral oxide O2"),BN2*1/4,
IF((CF2=""),"",
)))))</f>
        <v>0</v>
      </c>
      <c r="CZ2" s="81"/>
      <c r="DA2" s="67" t="s">
        <v>280</v>
      </c>
      <c r="DB2" s="60">
        <f t="shared" ref="DB2:DB15" si="37">BI2*2</f>
        <v>49.759648748885638</v>
      </c>
      <c r="DC2" s="60">
        <f t="shared" ref="DC2:DC15" si="38">BJ2*2</f>
        <v>0</v>
      </c>
      <c r="DD2" s="67">
        <f t="shared" ref="DD2:DD15" si="39">BK2*3/2</f>
        <v>0</v>
      </c>
      <c r="DE2" s="67">
        <f t="shared" ref="DE2:DE15" si="40">BL2*3/2</f>
        <v>0</v>
      </c>
      <c r="DF2" s="94">
        <f>BM2</f>
        <v>0.4871030965961875</v>
      </c>
      <c r="DG2" s="94">
        <f t="shared" ref="DG2:DG15" si="41">BO2</f>
        <v>0</v>
      </c>
      <c r="DH2" s="95">
        <f t="shared" ref="DH2:DH15" si="42">BP2</f>
        <v>49.753248154518175</v>
      </c>
      <c r="DI2" s="94">
        <f t="shared" ref="DI2:DI15" si="43">BQ2</f>
        <v>0</v>
      </c>
      <c r="DJ2" s="94">
        <f t="shared" ref="DJ2:DJ15" si="44">BR2</f>
        <v>0</v>
      </c>
      <c r="DK2" s="94">
        <f t="shared" ref="DK2:DK15" si="45">BS2</f>
        <v>0</v>
      </c>
      <c r="DL2" s="94">
        <f t="shared" ref="DL2:DL15" si="46">BT2</f>
        <v>0</v>
      </c>
      <c r="DM2" s="94">
        <f t="shared" ref="DM2:DM15" si="47">BU2</f>
        <v>0</v>
      </c>
      <c r="DN2" s="94">
        <f t="shared" ref="DN2:DN15" si="48">BV2*5/2</f>
        <v>0</v>
      </c>
      <c r="DO2" s="94">
        <f t="shared" ref="DO2:DO15" si="49">CA2</f>
        <v>0</v>
      </c>
      <c r="DP2" s="94">
        <f t="shared" ref="DP2:DP15" si="50">CB2*2</f>
        <v>100</v>
      </c>
    </row>
    <row r="3" spans="1:120" s="28" customFormat="1" ht="16" customHeight="1">
      <c r="A3" s="4">
        <v>1</v>
      </c>
      <c r="B3" s="67"/>
      <c r="C3" s="5" t="s">
        <v>281</v>
      </c>
      <c r="D3" s="5" t="s">
        <v>282</v>
      </c>
      <c r="E3" s="4"/>
      <c r="F3" s="4"/>
      <c r="G3" s="4"/>
      <c r="H3" s="4">
        <v>42.71</v>
      </c>
      <c r="I3" s="4"/>
      <c r="J3" s="4"/>
      <c r="K3" s="4"/>
      <c r="L3" s="58"/>
      <c r="M3" s="59">
        <v>0</v>
      </c>
      <c r="N3" s="60">
        <f>L3*1/((159.69/71.844)/2)+M3</f>
        <v>0</v>
      </c>
      <c r="O3" s="4"/>
      <c r="P3" s="4">
        <v>57.29</v>
      </c>
      <c r="Q3" s="39"/>
      <c r="R3" s="39"/>
      <c r="S3" s="4"/>
      <c r="T3" s="4"/>
      <c r="U3" s="4"/>
      <c r="V3" s="39"/>
      <c r="W3" s="60"/>
      <c r="X3" s="39"/>
      <c r="Y3" s="39"/>
      <c r="Z3" s="70"/>
      <c r="AA3" s="70"/>
      <c r="AB3" s="24">
        <f t="shared" si="0"/>
        <v>0</v>
      </c>
      <c r="AC3" s="24">
        <f t="shared" si="1"/>
        <v>0</v>
      </c>
      <c r="AD3" s="24">
        <f t="shared" si="2"/>
        <v>100</v>
      </c>
      <c r="AE3" s="24"/>
      <c r="AF3" s="71">
        <v>0</v>
      </c>
      <c r="AG3" s="97"/>
      <c r="AH3" s="97"/>
      <c r="AI3" s="79"/>
      <c r="AJ3" s="60"/>
      <c r="AK3" s="60"/>
      <c r="AL3" s="60"/>
      <c r="AM3" s="60"/>
      <c r="AN3" s="60"/>
      <c r="AO3" s="60">
        <f t="shared" si="3"/>
        <v>0</v>
      </c>
      <c r="AP3" s="124">
        <f t="shared" si="4"/>
        <v>100</v>
      </c>
      <c r="AQ3" s="126"/>
      <c r="AR3" s="126"/>
      <c r="AS3" s="140">
        <f t="shared" si="5"/>
        <v>0</v>
      </c>
      <c r="AT3" s="140">
        <f t="shared" si="6"/>
        <v>0</v>
      </c>
      <c r="AU3" s="140">
        <f t="shared" si="7"/>
        <v>0</v>
      </c>
      <c r="AV3" s="140">
        <f t="shared" si="8"/>
        <v>0</v>
      </c>
      <c r="AW3" s="140">
        <f t="shared" si="9"/>
        <v>0</v>
      </c>
      <c r="AX3" s="140">
        <f t="shared" si="10"/>
        <v>0</v>
      </c>
      <c r="AY3" s="140">
        <f t="shared" si="11"/>
        <v>0</v>
      </c>
      <c r="AZ3" s="126"/>
      <c r="BA3" s="68" t="s">
        <v>146</v>
      </c>
      <c r="BB3" s="124"/>
      <c r="BC3" s="96" t="s">
        <v>96</v>
      </c>
      <c r="BD3" s="124"/>
      <c r="BE3" s="50">
        <f t="shared" si="12"/>
        <v>100</v>
      </c>
      <c r="BF3" s="50">
        <f t="shared" si="13"/>
        <v>74.998392018882313</v>
      </c>
      <c r="BG3" s="51"/>
      <c r="BH3" s="12"/>
      <c r="BI3" s="76">
        <f t="shared" si="14"/>
        <v>25.001607981117683</v>
      </c>
      <c r="BJ3" s="76">
        <f t="shared" si="15"/>
        <v>0</v>
      </c>
      <c r="BK3" s="76">
        <f t="shared" si="16"/>
        <v>0</v>
      </c>
      <c r="BL3" s="76">
        <f t="shared" si="17"/>
        <v>0</v>
      </c>
      <c r="BM3" s="76">
        <f t="shared" si="18"/>
        <v>0</v>
      </c>
      <c r="BN3" s="77">
        <f t="shared" si="19"/>
        <v>0</v>
      </c>
      <c r="BO3" s="76">
        <f t="shared" si="20"/>
        <v>0</v>
      </c>
      <c r="BP3" s="76">
        <f t="shared" si="21"/>
        <v>49.996784037764634</v>
      </c>
      <c r="BQ3" s="76">
        <f t="shared" si="22"/>
        <v>0</v>
      </c>
      <c r="BR3" s="76">
        <f t="shared" si="23"/>
        <v>0</v>
      </c>
      <c r="BS3" s="76">
        <f t="shared" si="24"/>
        <v>0</v>
      </c>
      <c r="BT3" s="76">
        <f t="shared" si="25"/>
        <v>0</v>
      </c>
      <c r="BU3" s="76">
        <f t="shared" si="26"/>
        <v>0</v>
      </c>
      <c r="BV3" s="76">
        <f t="shared" si="27"/>
        <v>0</v>
      </c>
      <c r="BW3" s="76">
        <f t="shared" si="28"/>
        <v>0</v>
      </c>
      <c r="BX3" s="76">
        <f t="shared" si="29"/>
        <v>0</v>
      </c>
      <c r="BY3" s="78">
        <f t="shared" si="30"/>
        <v>0</v>
      </c>
      <c r="BZ3" s="76">
        <f t="shared" si="31"/>
        <v>0</v>
      </c>
      <c r="CA3" s="76">
        <f t="shared" si="32"/>
        <v>0</v>
      </c>
      <c r="CB3" s="76">
        <f t="shared" si="33"/>
        <v>50</v>
      </c>
      <c r="CC3" s="12">
        <f t="shared" si="34"/>
        <v>74.998392018882313</v>
      </c>
      <c r="CD3" s="12">
        <f t="shared" si="35"/>
        <v>100</v>
      </c>
      <c r="CE3" s="12"/>
      <c r="CF3" s="67" t="str">
        <f t="shared" si="36"/>
        <v>mol % oxide O2</v>
      </c>
      <c r="CG3" s="81">
        <f>IF((CF3="mol. % oxide O2"),H3/60.084*100/(H3/60.084+I3/79.866+J3/101.961+K3/151.99+M3/71.844+2*L3/159.69+O3/70.937+P3/40.304+Q3/74.693+R3/81.38+S3/56.077+T3/61.979+U3/94.196+AH3/18.015+1/2*L3/159.69),
IF((CF3="mol. % oxide O"),H3/60.084*100/(H3/60.084+I3/79.866+J3/101.961+K3/151.99+M3/71.844+2*L3/159.69+O3/70.937+P3/40.304+Q3/74.693+R3/81.38+S3/56.077+T3/61.979+U3/94.196+AH3/18.015+L3/159.69),
IF((CF3="mol. % oxide Fe2O3"),H3/60.084*100/(H3/60.084+I3/79.866+J3/101.961+K3/151.99+M3/71.844+L3/159.69+O3/70.937+P3/40.304+Q3/74.693+R3/81.38+S3/56.077+T3/61.979+U3/94.196+AH3/18.015),
IF((CF3="mineral oxide O2"),BI3,
IF((CF3=""),"",
)))))</f>
        <v>0</v>
      </c>
      <c r="CH3" s="81">
        <f>IF((CF3="mol. % oxide O2"),I3/79.866*100/(H3/60.084+I3/79.866+J3/101.961+K3/151.99+M3/71.844+2*L3/159.69+O3/70.937+P3/40.304+Q3/74.693+R3/81.38+S3/56.077+T3/61.979+U3/94.196+AH3/18.015+1/2*L3/159.69),
IF((CF3="mol. % oxide O"),I3/79.866*100/(H3/60.084+I3/79.866+J3/101.961+K3/151.99+M3/71.844+2*L3/159.69+O3/70.937+P3/40.304+Q3/74.693+R3/81.38+S3/56.077+T3/61.979+U3/94.196+AH3/18.015+L3/159.69),
IF((CF3="mol. % oxide Fe2O3"),I3/79.866*100/(H3/60.084+I3/79.866+J3/101.961+K3/151.99+M3/71.844+L3/159.69+O3/70.937+P3/40.304+Q3/74.693+R3/81.38+S3/56.077+T3/61.979+U3/94.196+AH3/18.015),
IF((CF3="mineral oxide O2"),BJ3,
IF((CF3=""),"",
)))))</f>
        <v>0</v>
      </c>
      <c r="CI3" s="81">
        <f>IF((CF3="mol. % oxide O2"),J3/101.961*100/(H3/60.084+I3/79.866+J3/101.961+K3/151.99+M3/71.844+2*L3/159.69+O3/70.937+P3/40.304+Q3/74.693+R3/81.38+S3/56.077+T3/61.979+U3/94.196+AH3/18.015+1/2*L3/159.69),
IF((CF3="mol. % oxide O"),J3/101.961*100/(H3/60.084+I3/79.866+J3/101.961+K3/151.99+M3/71.844+2*L3/159.69+O3/70.937+P3/40.304+Q3/74.693+R3/81.38+S3/56.077+T3/61.979+U3/94.196+AH3/18.015+L3/159.69),
IF((CF3="mol. % oxide Fe2O3"),J3/101.961*100/(H3/60.084+I3/79.866+J3/101.961+K3/151.99+M3/71.844+L3/159.69+O3/70.937+P3/40.304+Q3/74.693+R3/81.38+S3/56.077+T3/61.979+U3/94.196+AH3/18.015),
IF((CF3="mineral oxide O2"),BK3/2,
IF((CF3=""),"",
)))))</f>
        <v>0</v>
      </c>
      <c r="CJ3" s="81">
        <f>IF((CF3="mol. % oxide O2"),K3/151.99*100/(H3/60.084+I3/79.866+J3/101.961+K3/151.99+M3/71.844+2*L3/159.69+O3/70.937+P3/40.304+Q3/74.693+R3/81.38+S3/56.077+T3/61.979+U3/94.196+AH3/18.015+1/2*L3/159.69),
IF((CF3="mol. % oxide O"),K3/151.99*100/(H3/60.084+I3/79.866+J3/101.961+K3/151.99+M3/71.844+2*L3/159.69+O3/70.937+P3/40.304+Q3/74.693+R3/81.38+S3/56.077+T3/61.979+U3/94.196+AH3/18.015+L3/159.69),
IF((CF3="mol. % oxide Fe2O3"),K3/151.99*100/(H3/60.084+I3/79.866+J3/101.961+K3/151.99+M3/71.844+L3/159.69+O3/70.937+P3/40.304+Q3/74.693+R3/81.38+S3/56.077+T3/61.979+U3/94.196+AH3/18.015),
IF((CF3="mineral oxide O2"),BL3/2,
IF((CF3=""),"",
)))))</f>
        <v>0</v>
      </c>
      <c r="CK3" s="81">
        <f>IF((CF3="mol. % oxide O2"),(M3/71.844+2*L3/159.69)*100/(H3/60.084+I3/79.866+J3/101.961+K3/151.99+M3/71.844+2*L3/159.69+O3/70.937+P3/40.304+Q3/74.693+R3/81.38+S3/56.077+T3/61.979+U3/94.196+AH3/18.015+1/2*L3/159.69),
IF((CF3="mol. % oxide O"),(M3/71.844+2*L3/159.69)*100/(H3/60.084+I3/79.866+J3/101.961+K3/151.99+M3/71.844+2*L3/159.69+O3/70.937+P3/40.304+Q3/74.693+R3/81.38+S3/56.077+T3/61.979+U3/94.196+AH3/18.015+L3/159.69),
IF((CF3="mol. % oxide Fe2O3"),M3/71.844*100/(H3/60.084+I3/79.866+J3/101.961+K3/151.99+M3/71.844+L3/159.69+O3/70.937+P3/40.304+Q3/74.693+R3/81.38+S3/56.077+T3/61.979+U3/94.196+AH3/18.015),
IF((CF3="mineral oxide O2"),BN3+BM3,
IF((CF3=""),"",
)))))</f>
        <v>0</v>
      </c>
      <c r="CL3" s="81">
        <f>IF((CF3="mol. % oxide O2"),O3/70.937*100/(H3/60.084+I3/79.866+J3/101.961+K3/151.99+M3/71.844+2*L3/159.69+O3/70.937+P3/40.304+Q3/74.693+R3/81.38+S3/56.077+T3/61.979+U3/94.196+AH3/18.015+1/2*L3/159.69),
IF((CF3="mol. % oxide O"),O3/70.937*100/(H3/60.084+I3/79.866+J3/101.961+K3/151.99+M3/71.844+2*L3/159.69+O3/70.937+P3/40.304+Q3/74.693+R3/81.38+S3/56.077+T3/61.979+U3/94.196+AH3/18.015+L3/159.69),
IF((CF3="mol. % oxide Fe2O3"),O3/70.937*100/(H3/60.084+I3/79.866+J3/101.961+K3/151.99+M3/71.844+L3/159.69+O3/70.937+P3/40.304+Q3/74.693+R3/81.38+S3/56.077+T3/61.979+U3/94.196+AH3/18.015),
IF((CF3="mineral oxide O2"),BO3,
IF((CF3=""),"",
)))))</f>
        <v>0</v>
      </c>
      <c r="CM3" s="81">
        <f>IF((CF3="mol. % oxide O2"),P3/40.304*100/(H3/60.084+I3/79.866+J3/101.961+K3/151.99+M3/71.844+2*L3/159.69+O3/70.937+P3/40.304+Q3/74.693+R3/81.38+S3/56.077+T3/61.979+U3/94.196+AH3/18.015+1/2*L3/159.69),
IF((CF3="mol. % oxide O"),P3/40.304*100/(H3/60.084+I3/79.866+J3/101.961+K3/151.99+M3/71.844+2*L3/159.69+O3/70.937+P3/40.304+Q3/74.693+R3/81.38+S3/56.077+T3/61.979+U3/94.196+AH3/18.015+L3/159.69),
IF((CF3="mol. % oxide Fe2O3"),P3/40.304*100/(H3/60.084+I3/79.866+J3/101.961+K3/151.99+M3/71.844+L3/159.69+O3/70.937+P3/40.304+Q3/74.693+R3/81.38+S3/56.077+T3/61.979+U3/94.196+AH3/18.015),
IF((CF3="mineral oxide O2"),BP3,
IF((CF3=""),"",
)))))</f>
        <v>0</v>
      </c>
      <c r="CN3" s="81">
        <f>IF((CF3="mol. % oxide O2"),Q3/74.693*100/(H3/60.084+I3/79.866+J3/101.961+K3/151.99+M3/71.844+2*L3/159.69+O3/70.937+P3/40.304+Q3/74.693+R3/81.38+S3/56.077+T3/61.979+U3/94.196+AH3/18.015+1/2*L3/159.69),
IF((CF3="mol. % oxide O"),Q3/74.693*100/(H3/60.084+I3/79.866+J3/101.961+K3/151.99+M3/71.844+2*L3/159.69+O3/70.937+P3/40.304+Q3/74.693+R3/81.38+S3/56.077+T3/61.979+U3/94.196+AH3/18.015+L3/159.69),
IF((CF3="mol. % oxide Fe2O3"),Q3/74.693*100/(H3/60.084+I3/79.866+J3/101.961+K3/151.99+M3/71.844+L3/159.69+O3/70.937+P3/40.304+Q3/74.693+R3/81.38+S3/56.077+T3/61.979+U3/94.196+AH3/18.015),
IF((CF3="mineral oxide O2"),BQ3,
IF((CF3=""),"",
)))))</f>
        <v>0</v>
      </c>
      <c r="CO3" s="81">
        <f>IF((CF3="mol. % oxide O2"),R3/81.38*100/(H3/60.084+I3/79.866+J3/101.961+K3/151.99+M3/71.844+2*L3/159.69+O3/70.937+P3/40.304+Q3/74.693+R3/81.38+S3/56.077+T3/61.979+U3/94.196+AH3/18.015+1/2*L3/159.69),
IF((CF3="mol. % oxide O"),R3/81.38*100/(H3/60.084+I3/79.866+J3/101.961+K3/151.99+M3/71.844+2*L3/159.69+O3/70.937+P3/40.304+Q3/74.693+R3/81.38+S3/56.077+T3/61.979+U3/94.196+AH3/18.015+L3/159.69),
IF((CF3="mol. % oxide Fe2O3"),R3/81.38*100/(H3/60.084+I3/79.866+J3/101.961+K3/151.99+M3/71.844+L3/159.69+O3/70.937+P3/40.304+Q3/74.693+R3/81.38+S3/56.077+T3/61.979+U3/94.196+AH3/18.015),
IF((CF3="mineral oxide O2"),BR3,
IF((CF3=""),"",
)))))</f>
        <v>0</v>
      </c>
      <c r="CP3" s="81">
        <f>IF((CF3="mol. % oxide O2"),S3/56.077*100/(H3/60.084+I3/79.866+J3/101.961+K3/151.99+M3/71.844+2*L3/159.69+O3/70.937+P3/40.304+Q3/74.693+R3/81.38+S3/56.077+T3/61.979+U3/94.196+AH3/18.015+1/2*L3/159.69),
IF((CF3="mol. % oxide O"),S3/56.077*100/(H3/60.084+I3/79.866+J3/101.961+K3/151.99+M3/71.844+2*L3/159.69+O3/70.937+P3/40.304+Q3/74.693+R3/81.38+S3/56.077+T3/61.979+U3/94.196+AH3/18.015+L3/159.69),
IF((CF3="mol. % oxide Fe2O3"),S3/56.077*100/(H3/60.084+I3/79.866+J3/101.961+K3/151.99+M3/71.844+L3/159.69+O3/70.937+P3/40.304+Q3/74.693+R3/81.38+S3/56.077+T3/61.979+U3/94.196+AH3/18.015),
IF((CF3="mineral oxide O2"),BS3,
IF((CF3=""),"",
)))))</f>
        <v>0</v>
      </c>
      <c r="CQ3" s="81">
        <f>IF((CF3="mol. % oxide O2"),T3/61.979*100/(H3/60.084+I3/79.866+J3/101.961+K3/151.99+M3/71.844+2*L3/159.69+O3/70.937+P3/40.304+Q3/74.693+R3/81.38+S3/56.077+T3/61.979+U3/94.196+AH3/18.015+1/2*L3/159.69),
IF((CF3="mol. % oxide O"),T3/61.979*100/(H3/60.084+I3/79.866+J3/101.961+K3/151.99+M3/71.844+2*L3/159.69+O3/70.937+P3/40.304+Q3/74.693+R3/81.38+S3/56.077+T3/61.979+U3/94.196+AH3/18.015+L3/159.69),
IF((CF3="mol. % oxide Fe2O3"),T3/61.979*100/(H3/60.084+I3/79.866+J3/101.961+K3/151.99+M3/71.844+L3/159.69+O3/70.937+P3/40.304+Q3/74.693+R3/81.38+S3/56.077+T3/61.979+U3/94.196+AH3/18.015),
IF((CF3="mineral oxide O2"),BT3/2,
IF((CF3=""),"",
)))))</f>
        <v>0</v>
      </c>
      <c r="CR3" s="81">
        <f>IF((CF3="mol. % oxide O2"),U3/94.196*100/(H3/60.084+I3/79.866+J3/101.961+K3/151.99+M3/71.844+2*L3/159.69+O3/70.937+P3/40.304+Q3/74.693+R3/81.38+S3/56.077+T3/61.979+U3/94.196+AH3/18.015+1/2*L3/159.69),
IF((CF3="mol. % oxide O"),U3/94.196*100/(H3/60.084+I3/79.866+J3/101.961+K3/151.99+M3/71.844+2*L3/159.69+O3/70.937+P3/40.304+Q3/74.693+R3/81.38+S3/56.077+T3/61.979+U3/94.196+AH3/18.015+L3/159.69),
IF((CF3="mol. % oxide Fe2O3"),U3/94.196*100/(H3/60.084+I3/79.866+J3/101.961+K3/151.99+M3/71.844+L3/159.69+O3/70.937+P3/40.304+Q3/74.693+R3/81.38+S3/56.077+T3/61.979+U3/94.196+AH3/18.015),
IF((CF3="mineral oxide O2"),BU3/2,
IF((CF3=""),"",
)))))</f>
        <v>0</v>
      </c>
      <c r="CS3" s="81">
        <f>IF((CF3="mol. % oxide O2"),V3/141.943*100/(H3/60.084+I3/79.866+J3/101.961+K3/151.99+M3/71.844+2*L3/159.69+O3/70.937+P3/40.304+Q3/74.693+R3/81.38+S3/56.077+T3/61.979+U3/94.196+AH3/18.015+1/2*L3/159.69),
IF((CF3="mol. % oxide O"),V3/141.943*100/(H3/60.084+I3/79.866+J3/101.961+K3/151.99+M3/71.844+2*L3/159.69+O3/70.937+P3/40.304+Q3/74.693+R3/81.38+S3/56.077+T3/61.979+U3/94.196+AH3/18.015+L3/159.69),
IF((CF3="mol. % oxide Fe2O3"),V3/141.943*100/(H3/60.084+I3/79.866+J3/101.961+K3/151.99+M3/71.844+L3/159.69+O3/70.937+P3/40.304+Q3/74.693+R3/81.38+S3/56.077+T3/61.979+U3/94.196+AH3/18.015),
IF((CF3="mineral oxide O2"),BV3/2,
IF((CF3=""),"",
)))))</f>
        <v>0</v>
      </c>
      <c r="CT3" s="81">
        <f>IF((CF3="mol. % oxide O2"),AI3/44.01*100/(H3/60.084+I3/79.866+J3/101.961+K3/151.99+M3/71.844+2*L3/159.69+O3/70.937+P3/40.304+Q3/74.693+R3/81.38+S3/56.077+T3/61.979+U3/94.196+AH3/18.015+1/2*L3/159.69+AI3/44.01+W3/80.06/2+X3/20/2+Y3/2/35.453),
IF((CF3="mol. % oxide O"),AI3/44.01*100/(H3/60.084+I3/79.866+J3/101.961+K3/151.99+M3/71.844+2*L3/159.69+O3/70.937+P3/40.304+Q3/74.693+R3/81.38+S3/56.077+T3/61.979+U3/94.196+AH3/18.015+L3/159.69+AI3/44.01+W3/80.06/2+X3/20/2+Y3/2/35.453),
IF((CF3="mol. % oxide Fe2O3"),AI3/44.01*100/(H3/60.084+I3/79.866+J3/101.961+K3/151.99+M3/71.844+L3/159.69+O3/70.937+P3/40.304+Q3/74.693+R3/81.38+S3/56.077+T3/61.979+U3/94.196+AH3/18.015+AI3/44.01+W3/80.06/2+X3/20/2+Y3/2/35.453),
IF((CF3="mineral oxide O2"),BW3,
IF((CF3=""),"",
)))))</f>
        <v>0</v>
      </c>
      <c r="CU3" s="81">
        <f>IF((CF3="mol. % oxide O2"),W3/80.06/2*100/(H3/60.084+I3/79.866+J3/101.961+K3/151.99+M3/71.844+2*L3/159.69+O3/70.937+P3/40.304+Q3/74.693+R3/81.38+S3/56.077+T3/61.979+U3/94.196+AH3/18.015+1/2*L3/159.69+AI3/44.01+W3/80.06/2+X3/20/2+Y3/2/35.453),
IF((CF3="mol. % oxide O"),W3/80.06/2*100/(H3/60.084+I3/79.866+J3/101.961+K3/151.99+M3/71.844+2*L3/159.69+O3/70.937+P3/40.304+Q3/74.693+R3/81.38+S3/56.077+T3/61.979+U3/94.196+AH3/18.015+L3/159.69+AI3/44.01+W3/80.06/2+X3/20/2+Y3/2/35.453),
IF((CF3="mol. % oxide Fe2O3"),W3/80.06/2*100/(H3/60.084+I3/79.866+J3/101.961+K3/151.99+M3/71.844+L3/159.69+O3/70.937+P3/40.304+Q3/74.693+R3/81.38+S3/56.077+T3/61.979+U3/94.196+AH3/18.015+AI3/44.01+W3/80.06/2+X3/20/2+Y3/2/35.453),
IF((CF3="mineral oxide O2"),BW3,
IF((CF3=""),"",
)))))</f>
        <v>0</v>
      </c>
      <c r="CV3" s="81">
        <f>IF((CF3="mol. % oxide O2"),X3/2/20*100/(H3/60.084+I3/79.866+J3/101.961+K3/151.99+M3/71.844+2*L3/159.69+O3/70.937+P3/40.304+Q3/74.693+R3/81.38+S3/56.077+T3/61.979+U3/94.196+AH3/18.015+1/2*L3/159.69+AI3/44.01+W3/80.06/2+X3/20/2+Y3/2/35.453),
IF((CF3="mol. % oxide O"),X3/2/20*100/(H3/60.084+I3/79.866+J3/101.961+K3/151.99+M3/71.844+2*L3/159.69+O3/70.937+P3/40.304+Q3/74.693+R3/81.38+S3/56.077+T3/61.979+U3/94.196+AH3/18.015+L3/159.69+AI3/44.01+W3/80.06/2+X3/20/2+Y3/2/35.453),
IF((CF3="mol. % oxide Fe2O3"),X3/2/20*100/(H3/60.084+I3/79.866+J3/101.961+K3/151.99+M3/71.844+L3/159.69+O3/70.937+P3/40.304+Q3/74.693+R3/81.38+S3/56.077+T3/61.979+U3/94.196+AH3/18.015+AI3/44.01+W3/80.06/2+X3/20/2+Y3/2/35.453),
IF((CF3="mineral oxide O2"),BY3,
IF((CF3=""),"",
)))))</f>
        <v>0</v>
      </c>
      <c r="CW3" s="81">
        <f>IF((CF3="mol. % oxide O2"),Y3/2/35.453*100/(H3/60.084+I3/79.866+J3/101.961+K3/151.99+M3/71.844+2*L3/159.69+O3/70.937+P3/40.304+Q3/74.693+R3/81.38+S3/56.077+T3/61.979+U3/94.196+AH3/18.015+1/2*L3/159.69+AI3/44.01+W3/80.06/2+X3/20/2+Y3/2/35.453),
IF((CF3="mol. % oxide O"),Y3/2/35.453*100/(H3/60.084+I3/79.866+J3/101.961+K3/151.99+M3/71.844+2*L3/159.69+O3/70.937+P3/40.304+Q3/74.693+R3/81.38+S3/56.077+T3/61.979+U3/94.196+AH3/18.015+L3/159.69+AI3/44.01+W3/80.06/2+X3/20/2+Y3/2/35.453),
IF((CF3="mol. % oxide Fe2O3"),Y3/2/35.453*100/(H3/60.084+I3/79.866+J3/101.961+K3/151.99+M3/71.844+L3/159.69+O3/70.937+P3/40.304+Q3/74.693+R3/81.38+S3/56.077+T3/61.979+U3/94.196+AH3/18.015+AI3/44.01+W3/80.06/2+X3/20/2+Y3/2/35.453),
IF((CF3="mineral oxide O2"),BZ3,
IF((CF3=""),"",
)))))</f>
        <v>0</v>
      </c>
      <c r="CX3" s="81">
        <f>IF((CF3="mol. % oxide O2"),AH3/18.015*100/(H3/60.084+I3/79.866+J3/101.961+K3/151.99+M3/71.844+2*L3/159.69+O3/70.937+P3/40.304+Q3/74.693+R3/81.38+S3/56.077+T3/61.979+U3/94.196+AH3/18.015+1/2*L3/159.69),
IF((CF3="mol. % oxide O"),AH3/18.015*100/(H3/60.084+I3/79.866+J3/101.961+K3/151.99+M3/71.844+2*L3/159.69+O3/70.937+P3/40.304+Q3/74.693+R3/81.38+S3/56.077+T3/61.979+U3/94.196+AH3/18.015+L3/159.69),
IF((CF3="mol. % oxide Fe2O3"),AH3/18.015*100/(H3/60.084+I3/79.866+J3/101.961+K3/151.99+M3/71.844+L3/159.69+O3/70.937+P3/40.304+Q3/74.693+R3/81.38+S3/56.077+T3/61.979+U3/94.196+AH3/18.015),
IF((CF3="mineral oxide O2"),CA3,
IF((CF3=""),"",
)))))</f>
        <v>0</v>
      </c>
      <c r="CY3" s="81">
        <f>IF((CF3="mol. % oxide O2"),1/2*L3/159.69*100/(H3/60.084+I3/79.866+J3/101.961+K3/151.99+M3/71.844+2*L3/159.69+O3/70.937+P3/40.304+Q3/74.693+R3/81.38+S3/56.077+T3/61.979+U3/94.196+AH3/18.015+1/2*L3/159.69),
IF((CF3="mol. % oxide O"),L3/159.69*100/(H3/60.084+I3/79.866+J3/101.961+K3/151.99+M3/71.844+2*L3/159.69+O3/70.937+P3/40.304+Q3/74.693+R3/81.38+S3/56.077+T3/61.979+U3/94.196+AH3/18.015+L3/159.69),
IF((CF3="mol. % oxide Fe2O3"),L3/159.69*100/(H3/60.084+I3/79.866+J3/101.961+K3/151.99+M3/71.844+L3/159.69+O3/70.937+P3/40.304+Q3/74.693+R3/81.38+S3/56.077+T3/61.979+U3/94.196+AH3/18.015),
IF((CF3="mineral oxide O2"),BN3*1/4,
IF((CF3=""),"",
)))))</f>
        <v>0</v>
      </c>
      <c r="CZ3" s="81"/>
      <c r="DA3" s="67" t="s">
        <v>280</v>
      </c>
      <c r="DB3" s="60">
        <f t="shared" si="37"/>
        <v>50.003215962235366</v>
      </c>
      <c r="DC3" s="60">
        <f t="shared" si="38"/>
        <v>0</v>
      </c>
      <c r="DD3" s="67">
        <f t="shared" si="39"/>
        <v>0</v>
      </c>
      <c r="DE3" s="67">
        <f t="shared" si="40"/>
        <v>0</v>
      </c>
      <c r="DF3" s="94">
        <f t="shared" ref="DF3:DF15" si="51">BM3+BN3</f>
        <v>0</v>
      </c>
      <c r="DG3" s="94">
        <f t="shared" si="41"/>
        <v>0</v>
      </c>
      <c r="DH3" s="95">
        <f t="shared" si="42"/>
        <v>49.996784037764634</v>
      </c>
      <c r="DI3" s="94">
        <f t="shared" si="43"/>
        <v>0</v>
      </c>
      <c r="DJ3" s="94">
        <f t="shared" si="44"/>
        <v>0</v>
      </c>
      <c r="DK3" s="94">
        <f t="shared" si="45"/>
        <v>0</v>
      </c>
      <c r="DL3" s="94">
        <f t="shared" si="46"/>
        <v>0</v>
      </c>
      <c r="DM3" s="94">
        <f t="shared" si="47"/>
        <v>0</v>
      </c>
      <c r="DN3" s="94">
        <f t="shared" si="48"/>
        <v>0</v>
      </c>
      <c r="DO3" s="94">
        <f t="shared" si="49"/>
        <v>0</v>
      </c>
      <c r="DP3" s="94">
        <f t="shared" si="50"/>
        <v>100</v>
      </c>
    </row>
    <row r="4" spans="1:120" s="28" customFormat="1" ht="16" customHeight="1">
      <c r="A4" s="4">
        <v>2</v>
      </c>
      <c r="B4" s="4"/>
      <c r="C4" s="57" t="s">
        <v>283</v>
      </c>
      <c r="D4" s="5" t="s">
        <v>282</v>
      </c>
      <c r="E4" s="4"/>
      <c r="F4" s="4"/>
      <c r="G4" s="4"/>
      <c r="H4" s="4">
        <v>29.49</v>
      </c>
      <c r="I4" s="4"/>
      <c r="J4" s="4"/>
      <c r="K4" s="4"/>
      <c r="L4" s="58"/>
      <c r="M4" s="59">
        <v>70.510000000000005</v>
      </c>
      <c r="N4" s="60">
        <f>L4*1/((159.69/71.844)/2)+M4</f>
        <v>70.510000000000005</v>
      </c>
      <c r="O4" s="4"/>
      <c r="P4" s="4"/>
      <c r="Q4" s="39"/>
      <c r="R4" s="39"/>
      <c r="S4" s="4"/>
      <c r="T4" s="4"/>
      <c r="U4" s="4"/>
      <c r="V4" s="39"/>
      <c r="W4" s="60"/>
      <c r="X4" s="39"/>
      <c r="Y4" s="39"/>
      <c r="Z4" s="70"/>
      <c r="AA4" s="70"/>
      <c r="AB4" s="24">
        <f t="shared" si="0"/>
        <v>0</v>
      </c>
      <c r="AC4" s="24">
        <f t="shared" si="1"/>
        <v>0</v>
      </c>
      <c r="AD4" s="24">
        <f t="shared" si="2"/>
        <v>99.999999999999986</v>
      </c>
      <c r="AE4" s="24"/>
      <c r="AF4" s="71">
        <f>IF(M4&lt;&gt;"",2*L4/159.69/(N4/71.844),0)</f>
        <v>0</v>
      </c>
      <c r="AG4" s="97"/>
      <c r="AH4" s="97"/>
      <c r="AI4" s="79"/>
      <c r="AJ4" s="60"/>
      <c r="AK4" s="60"/>
      <c r="AL4" s="60"/>
      <c r="AM4" s="60"/>
      <c r="AN4" s="60"/>
      <c r="AO4" s="60">
        <f t="shared" si="3"/>
        <v>-7.8266100000000005</v>
      </c>
      <c r="AP4" s="124">
        <f t="shared" si="4"/>
        <v>100</v>
      </c>
      <c r="AQ4" s="126"/>
      <c r="AR4" s="126"/>
      <c r="AS4" s="140">
        <f t="shared" si="5"/>
        <v>0</v>
      </c>
      <c r="AT4" s="140">
        <f t="shared" si="6"/>
        <v>0</v>
      </c>
      <c r="AU4" s="140">
        <f t="shared" si="7"/>
        <v>54.808069567396025</v>
      </c>
      <c r="AV4" s="140">
        <f t="shared" si="8"/>
        <v>0</v>
      </c>
      <c r="AW4" s="140">
        <f t="shared" si="9"/>
        <v>0</v>
      </c>
      <c r="AX4" s="140">
        <f t="shared" si="10"/>
        <v>0</v>
      </c>
      <c r="AY4" s="140">
        <f t="shared" si="11"/>
        <v>0</v>
      </c>
      <c r="AZ4" s="126"/>
      <c r="BA4" s="68" t="s">
        <v>146</v>
      </c>
      <c r="BB4" s="124"/>
      <c r="BC4" s="96" t="s">
        <v>96</v>
      </c>
      <c r="BD4" s="124"/>
      <c r="BE4" s="50">
        <f t="shared" si="12"/>
        <v>100</v>
      </c>
      <c r="BF4" s="50">
        <f t="shared" si="13"/>
        <v>74.995656690977</v>
      </c>
      <c r="BG4" s="51"/>
      <c r="BH4" s="12"/>
      <c r="BI4" s="76">
        <f t="shared" si="14"/>
        <v>25.004343309022996</v>
      </c>
      <c r="BJ4" s="76">
        <f t="shared" si="15"/>
        <v>0</v>
      </c>
      <c r="BK4" s="76">
        <f t="shared" si="16"/>
        <v>0</v>
      </c>
      <c r="BL4" s="76">
        <f t="shared" si="17"/>
        <v>0</v>
      </c>
      <c r="BM4" s="76">
        <f t="shared" si="18"/>
        <v>49.991313381954008</v>
      </c>
      <c r="BN4" s="77">
        <f t="shared" si="19"/>
        <v>0</v>
      </c>
      <c r="BO4" s="76">
        <f t="shared" si="20"/>
        <v>0</v>
      </c>
      <c r="BP4" s="76">
        <f t="shared" si="21"/>
        <v>0</v>
      </c>
      <c r="BQ4" s="76">
        <f t="shared" si="22"/>
        <v>0</v>
      </c>
      <c r="BR4" s="76">
        <f t="shared" si="23"/>
        <v>0</v>
      </c>
      <c r="BS4" s="76">
        <f t="shared" si="24"/>
        <v>0</v>
      </c>
      <c r="BT4" s="76">
        <f t="shared" si="25"/>
        <v>0</v>
      </c>
      <c r="BU4" s="76">
        <f t="shared" si="26"/>
        <v>0</v>
      </c>
      <c r="BV4" s="76">
        <f t="shared" si="27"/>
        <v>0</v>
      </c>
      <c r="BW4" s="76">
        <f t="shared" si="28"/>
        <v>0</v>
      </c>
      <c r="BX4" s="76">
        <f t="shared" si="29"/>
        <v>0</v>
      </c>
      <c r="BY4" s="78">
        <f t="shared" si="30"/>
        <v>0</v>
      </c>
      <c r="BZ4" s="76">
        <f t="shared" si="31"/>
        <v>0</v>
      </c>
      <c r="CA4" s="76">
        <f t="shared" si="32"/>
        <v>0</v>
      </c>
      <c r="CB4" s="76">
        <f t="shared" si="33"/>
        <v>50</v>
      </c>
      <c r="CC4" s="12">
        <f t="shared" si="34"/>
        <v>74.995656690977</v>
      </c>
      <c r="CD4" s="12">
        <f t="shared" si="35"/>
        <v>100</v>
      </c>
      <c r="CE4" s="12"/>
      <c r="CF4" s="67" t="str">
        <f t="shared" si="36"/>
        <v>mol % oxide O2</v>
      </c>
      <c r="CG4" s="81">
        <f t="shared" ref="CG4:CG15" si="52">IF((CF4="mol % oxide O2"),H4/60.084*100/(H4/60.084+I4/79.866+J4/101.961+K4/151.99+M4/71.844+2*L4/159.69+O4/70.937+P4/40.304+Q4/74.693+R4/81.38+S4/56.077+T4/61.979+U4/94.196+AH4/18.015+1/2*L4/159.69),
IF((CF4="wt % oxide O2"),H4/60.084*100/(H4/60.084+I4/79.866+J4/101.961+K4/151.99+M4/71.844+2*L4/159.69+O4/70.937+P4/40.304+Q4/74.693+R4/81.38+S4/56.077+T4/61.979+U4/94.196+AH4/18.015+1/2*L4/159.69),
IF((CF4="mol % oxide O"),H4/60.084*100/(H4/60.084+I4/79.866+J4/101.961+K4/151.99+M4/71.844+2*L4/159.69+O4/70.937+P4/40.304+Q4/74.693+R4/81.38+S4/56.077+T4/61.979+U4/94.196+AH4/18.015+L4/159.69),
IF((CF4="mol % oxide Fe2O3"),H4/60.084*100/(H4/60.084+I4/79.866+J4/101.961+K4/151.99+M4/71.844+L4/159.69+O4/70.937+P4/40.304+Q4/74.693+R4/81.38+S4/56.077+T4/61.979+U4/94.196+AH4/18.015),
IF((CF4="mineral oxide O2"),BI4,
IF((CF4=""),"",
))))))</f>
        <v>33.337719660981996</v>
      </c>
      <c r="CH4" s="81">
        <f>IF((CF4="mol. % oxide O2"),I4/79.866*100/(H4/60.084+I4/79.866+J4/101.961+K4/151.99+M4/71.844+2*L4/159.69+O4/70.937+P4/40.304+Q4/74.693+R4/81.38+S4/56.077+T4/61.979+U4/94.196+AH4/18.015+1/2*L4/159.69),
IF((CF4="mol. % oxide O"),I4/79.866*100/(H4/60.084+I4/79.866+J4/101.961+K4/151.99+M4/71.844+2*L4/159.69+O4/70.937+P4/40.304+Q4/74.693+R4/81.38+S4/56.077+T4/61.979+U4/94.196+AH4/18.015+L4/159.69),
IF((CF4="mol. % oxide Fe2O3"),I4/79.866*100/(H4/60.084+I4/79.866+J4/101.961+K4/151.99+M4/71.844+L4/159.69+O4/70.937+P4/40.304+Q4/74.693+R4/81.38+S4/56.077+T4/61.979+U4/94.196+AH4/18.015),
IF((CF4="mineral oxide O2"),BJ4,
IF((CF4=""),"",
)))))</f>
        <v>0</v>
      </c>
      <c r="CI4" s="81">
        <f>IF((CF4="mol. % oxide O2"),J4/101.961*100/(H4/60.084+I4/79.866+J4/101.961+K4/151.99+M4/71.844+2*L4/159.69+O4/70.937+P4/40.304+Q4/74.693+R4/81.38+S4/56.077+T4/61.979+U4/94.196+AH4/18.015+1/2*L4/159.69),
IF((CF4="mol. % oxide O"),J4/101.961*100/(H4/60.084+I4/79.866+J4/101.961+K4/151.99+M4/71.844+2*L4/159.69+O4/70.937+P4/40.304+Q4/74.693+R4/81.38+S4/56.077+T4/61.979+U4/94.196+AH4/18.015+L4/159.69),
IF((CF4="mol. % oxide Fe2O3"),J4/101.961*100/(H4/60.084+I4/79.866+J4/101.961+K4/151.99+M4/71.844+L4/159.69+O4/70.937+P4/40.304+Q4/74.693+R4/81.38+S4/56.077+T4/61.979+U4/94.196+AH4/18.015),
IF((CF4="mineral oxide O2"),BK4/2,
IF((CF4=""),"",
)))))</f>
        <v>0</v>
      </c>
      <c r="CJ4" s="81">
        <f>IF((CF4="mol. % oxide O2"),K4/151.99*100/(H4/60.084+I4/79.866+J4/101.961+K4/151.99+M4/71.844+2*L4/159.69+O4/70.937+P4/40.304+Q4/74.693+R4/81.38+S4/56.077+T4/61.979+U4/94.196+AH4/18.015+1/2*L4/159.69),
IF((CF4="mol. % oxide O"),K4/151.99*100/(H4/60.084+I4/79.866+J4/101.961+K4/151.99+M4/71.844+2*L4/159.69+O4/70.937+P4/40.304+Q4/74.693+R4/81.38+S4/56.077+T4/61.979+U4/94.196+AH4/18.015+L4/159.69),
IF((CF4="mol. % oxide Fe2O3"),K4/151.99*100/(H4/60.084+I4/79.866+J4/101.961+K4/151.99+M4/71.844+L4/159.69+O4/70.937+P4/40.304+Q4/74.693+R4/81.38+S4/56.077+T4/61.979+U4/94.196+AH4/18.015),
IF((CF4="mineral oxide O2"),BL4/2,
IF((CF4=""),"",
)))))</f>
        <v>0</v>
      </c>
      <c r="CK4" s="81">
        <f>IF((CF4="mol. % oxide O2"),(M4/71.844+2*L4/159.69)*100/(H4/60.084+I4/79.866+J4/101.961+K4/151.99+M4/71.844+2*L4/159.69+O4/70.937+P4/40.304+Q4/74.693+R4/81.38+S4/56.077+T4/61.979+U4/94.196+AH4/18.015+1/2*L4/159.69),
IF((CF4="mol. % oxide O"),(M4/71.844+2*L4/159.69)*100/(H4/60.084+I4/79.866+J4/101.961+K4/151.99+M4/71.844+2*L4/159.69+O4/70.937+P4/40.304+Q4/74.693+R4/81.38+S4/56.077+T4/61.979+U4/94.196+AH4/18.015+L4/159.69),
IF((CF4="mol. % oxide Fe2O3"),M4/71.844*100/(H4/60.084+I4/79.866+J4/101.961+K4/151.99+M4/71.844+L4/159.69+O4/70.937+P4/40.304+Q4/74.693+R4/81.38+S4/56.077+T4/61.979+U4/94.196+AH4/18.015),
IF((CF4="mineral oxide O2"),BN4+BM4,
IF((CF4=""),"",
)))))</f>
        <v>0</v>
      </c>
      <c r="CL4" s="81">
        <f>IF((CF4="mol. % oxide O2"),O4/70.937*100/(H4/60.084+I4/79.866+J4/101.961+K4/151.99+M4/71.844+2*L4/159.69+O4/70.937+P4/40.304+Q4/74.693+R4/81.38+S4/56.077+T4/61.979+U4/94.196+AH4/18.015+1/2*L4/159.69),
IF((CF4="mol. % oxide O"),O4/70.937*100/(H4/60.084+I4/79.866+J4/101.961+K4/151.99+M4/71.844+2*L4/159.69+O4/70.937+P4/40.304+Q4/74.693+R4/81.38+S4/56.077+T4/61.979+U4/94.196+AH4/18.015+L4/159.69),
IF((CF4="mol. % oxide Fe2O3"),O4/70.937*100/(H4/60.084+I4/79.866+J4/101.961+K4/151.99+M4/71.844+L4/159.69+O4/70.937+P4/40.304+Q4/74.693+R4/81.38+S4/56.077+T4/61.979+U4/94.196+AH4/18.015),
IF((CF4="mineral oxide O2"),BO4,
IF((CF4=""),"",
)))))</f>
        <v>0</v>
      </c>
      <c r="CM4" s="81">
        <f>IF((CF4="mol. % oxide O2"),P4/40.304*100/(H4/60.084+I4/79.866+J4/101.961+K4/151.99+M4/71.844+2*L4/159.69+O4/70.937+P4/40.304+Q4/74.693+R4/81.38+S4/56.077+T4/61.979+U4/94.196+AH4/18.015+1/2*L4/159.69),
IF((CF4="mol. % oxide O"),P4/40.304*100/(H4/60.084+I4/79.866+J4/101.961+K4/151.99+M4/71.844+2*L4/159.69+O4/70.937+P4/40.304+Q4/74.693+R4/81.38+S4/56.077+T4/61.979+U4/94.196+AH4/18.015+L4/159.69),
IF((CF4="mol. % oxide Fe2O3"),P4/40.304*100/(H4/60.084+I4/79.866+J4/101.961+K4/151.99+M4/71.844+L4/159.69+O4/70.937+P4/40.304+Q4/74.693+R4/81.38+S4/56.077+T4/61.979+U4/94.196+AH4/18.015),
IF((CF4="mineral oxide O2"),BP4,
IF((CF4=""),"",
)))))</f>
        <v>0</v>
      </c>
      <c r="CN4" s="81">
        <f>IF((CF4="mol. % oxide O2"),Q4/74.693*100/(H4/60.084+I4/79.866+J4/101.961+K4/151.99+M4/71.844+2*L4/159.69+O4/70.937+P4/40.304+Q4/74.693+R4/81.38+S4/56.077+T4/61.979+U4/94.196+AH4/18.015+1/2*L4/159.69),
IF((CF4="mol. % oxide O"),Q4/74.693*100/(H4/60.084+I4/79.866+J4/101.961+K4/151.99+M4/71.844+2*L4/159.69+O4/70.937+P4/40.304+Q4/74.693+R4/81.38+S4/56.077+T4/61.979+U4/94.196+AH4/18.015+L4/159.69),
IF((CF4="mol. % oxide Fe2O3"),Q4/74.693*100/(H4/60.084+I4/79.866+J4/101.961+K4/151.99+M4/71.844+L4/159.69+O4/70.937+P4/40.304+Q4/74.693+R4/81.38+S4/56.077+T4/61.979+U4/94.196+AH4/18.015),
IF((CF4="mineral oxide O2"),BQ4,
IF((CF4=""),"",
)))))</f>
        <v>0</v>
      </c>
      <c r="CO4" s="81">
        <f>IF((CF4="mol. % oxide O2"),R4/81.38*100/(H4/60.084+I4/79.866+J4/101.961+K4/151.99+M4/71.844+2*L4/159.69+O4/70.937+P4/40.304+Q4/74.693+R4/81.38+S4/56.077+T4/61.979+U4/94.196+AH4/18.015+1/2*L4/159.69),
IF((CF4="mol. % oxide O"),R4/81.38*100/(H4/60.084+I4/79.866+J4/101.961+K4/151.99+M4/71.844+2*L4/159.69+O4/70.937+P4/40.304+Q4/74.693+R4/81.38+S4/56.077+T4/61.979+U4/94.196+AH4/18.015+L4/159.69),
IF((CF4="mol. % oxide Fe2O3"),R4/81.38*100/(H4/60.084+I4/79.866+J4/101.961+K4/151.99+M4/71.844+L4/159.69+O4/70.937+P4/40.304+Q4/74.693+R4/81.38+S4/56.077+T4/61.979+U4/94.196+AH4/18.015),
IF((CF4="mineral oxide O2"),BR4,
IF((CF4=""),"",
)))))</f>
        <v>0</v>
      </c>
      <c r="CP4" s="81">
        <f>IF((CF4="mol. % oxide O2"),S4/56.077*100/(H4/60.084+I4/79.866+J4/101.961+K4/151.99+M4/71.844+2*L4/159.69+O4/70.937+P4/40.304+Q4/74.693+R4/81.38+S4/56.077+T4/61.979+U4/94.196+AH4/18.015+1/2*L4/159.69),
IF((CF4="mol. % oxide O"),S4/56.077*100/(H4/60.084+I4/79.866+J4/101.961+K4/151.99+M4/71.844+2*L4/159.69+O4/70.937+P4/40.304+Q4/74.693+R4/81.38+S4/56.077+T4/61.979+U4/94.196+AH4/18.015+L4/159.69),
IF((CF4="mol. % oxide Fe2O3"),S4/56.077*100/(H4/60.084+I4/79.866+J4/101.961+K4/151.99+M4/71.844+L4/159.69+O4/70.937+P4/40.304+Q4/74.693+R4/81.38+S4/56.077+T4/61.979+U4/94.196+AH4/18.015),
IF((CF4="mineral oxide O2"),BS4,
IF((CF4=""),"",
)))))</f>
        <v>0</v>
      </c>
      <c r="CQ4" s="81">
        <f>IF((CF4="mol. % oxide O2"),T4/61.979*100/(H4/60.084+I4/79.866+J4/101.961+K4/151.99+M4/71.844+2*L4/159.69+O4/70.937+P4/40.304+Q4/74.693+R4/81.38+S4/56.077+T4/61.979+U4/94.196+AH4/18.015+1/2*L4/159.69),
IF((CF4="mol. % oxide O"),T4/61.979*100/(H4/60.084+I4/79.866+J4/101.961+K4/151.99+M4/71.844+2*L4/159.69+O4/70.937+P4/40.304+Q4/74.693+R4/81.38+S4/56.077+T4/61.979+U4/94.196+AH4/18.015+L4/159.69),
IF((CF4="mol. % oxide Fe2O3"),T4/61.979*100/(H4/60.084+I4/79.866+J4/101.961+K4/151.99+M4/71.844+L4/159.69+O4/70.937+P4/40.304+Q4/74.693+R4/81.38+S4/56.077+T4/61.979+U4/94.196+AH4/18.015),
IF((CF4="mineral oxide O2"),BT4/2,
IF((CF4=""),"",
)))))</f>
        <v>0</v>
      </c>
      <c r="CR4" s="81">
        <f>IF((CF4="mol. % oxide O2"),U4/94.196*100/(H4/60.084+I4/79.866+J4/101.961+K4/151.99+M4/71.844+2*L4/159.69+O4/70.937+P4/40.304+Q4/74.693+R4/81.38+S4/56.077+T4/61.979+U4/94.196+AH4/18.015+1/2*L4/159.69),
IF((CF4="mol. % oxide O"),U4/94.196*100/(H4/60.084+I4/79.866+J4/101.961+K4/151.99+M4/71.844+2*L4/159.69+O4/70.937+P4/40.304+Q4/74.693+R4/81.38+S4/56.077+T4/61.979+U4/94.196+AH4/18.015+L4/159.69),
IF((CF4="mol. % oxide Fe2O3"),U4/94.196*100/(H4/60.084+I4/79.866+J4/101.961+K4/151.99+M4/71.844+L4/159.69+O4/70.937+P4/40.304+Q4/74.693+R4/81.38+S4/56.077+T4/61.979+U4/94.196+AH4/18.015),
IF((CF4="mineral oxide O2"),BU4/2,
IF((CF4=""),"",
)))))</f>
        <v>0</v>
      </c>
      <c r="CS4" s="81">
        <f>IF((CF4="mol. % oxide O2"),V4/141.943*100/(H4/60.084+I4/79.866+J4/101.961+K4/151.99+M4/71.844+2*L4/159.69+O4/70.937+P4/40.304+Q4/74.693+R4/81.38+S4/56.077+T4/61.979+U4/94.196+AH4/18.015+1/2*L4/159.69),
IF((CF4="mol. % oxide O"),V4/141.943*100/(H4/60.084+I4/79.866+J4/101.961+K4/151.99+M4/71.844+2*L4/159.69+O4/70.937+P4/40.304+Q4/74.693+R4/81.38+S4/56.077+T4/61.979+U4/94.196+AH4/18.015+L4/159.69),
IF((CF4="mol. % oxide Fe2O3"),V4/141.943*100/(H4/60.084+I4/79.866+J4/101.961+K4/151.99+M4/71.844+L4/159.69+O4/70.937+P4/40.304+Q4/74.693+R4/81.38+S4/56.077+T4/61.979+U4/94.196+AH4/18.015),
IF((CF4="mineral oxide O2"),BV4/2,
IF((CF4=""),"",
)))))</f>
        <v>0</v>
      </c>
      <c r="CT4" s="81">
        <f>IF((CF4="mol. % oxide O2"),AI4/44.01*100/(H4/60.084+I4/79.866+J4/101.961+K4/151.99+M4/71.844+2*L4/159.69+O4/70.937+P4/40.304+Q4/74.693+R4/81.38+S4/56.077+T4/61.979+U4/94.196+AH4/18.015+1/2*L4/159.69+AI4/44.01+W4/80.06/2+X4/20/2+Y4/2/35.453),
IF((CF4="mol. % oxide O"),AI4/44.01*100/(H4/60.084+I4/79.866+J4/101.961+K4/151.99+M4/71.844+2*L4/159.69+O4/70.937+P4/40.304+Q4/74.693+R4/81.38+S4/56.077+T4/61.979+U4/94.196+AH4/18.015+L4/159.69+AI4/44.01+W4/80.06/2+X4/20/2+Y4/2/35.453),
IF((CF4="mol. % oxide Fe2O3"),AI4/44.01*100/(H4/60.084+I4/79.866+J4/101.961+K4/151.99+M4/71.844+L4/159.69+O4/70.937+P4/40.304+Q4/74.693+R4/81.38+S4/56.077+T4/61.979+U4/94.196+AH4/18.015+AI4/44.01+W4/80.06/2+X4/20/2+Y4/2/35.453),
IF((CF4="mineral oxide O2"),BW4,
IF((CF4=""),"",
)))))</f>
        <v>0</v>
      </c>
      <c r="CU4" s="81">
        <f>IF((CF4="mol. % oxide O2"),W4/80.06/2*100/(H4/60.084+I4/79.866+J4/101.961+K4/151.99+M4/71.844+2*L4/159.69+O4/70.937+P4/40.304+Q4/74.693+R4/81.38+S4/56.077+T4/61.979+U4/94.196+AH4/18.015+1/2*L4/159.69+AI4/44.01+W4/80.06/2+X4/20/2+Y4/2/35.453),
IF((CF4="mol. % oxide O"),W4/80.06/2*100/(H4/60.084+I4/79.866+J4/101.961+K4/151.99+M4/71.844+2*L4/159.69+O4/70.937+P4/40.304+Q4/74.693+R4/81.38+S4/56.077+T4/61.979+U4/94.196+AH4/18.015+L4/159.69+AI4/44.01+W4/80.06/2+X4/20/2+Y4/2/35.453),
IF((CF4="mol. % oxide Fe2O3"),W4/80.06/2*100/(H4/60.084+I4/79.866+J4/101.961+K4/151.99+M4/71.844+L4/159.69+O4/70.937+P4/40.304+Q4/74.693+R4/81.38+S4/56.077+T4/61.979+U4/94.196+AH4/18.015+AI4/44.01+W4/80.06/2+X4/20/2+Y4/2/35.453),
IF((CF4="mineral oxide O2"),BW4,
IF((CF4=""),"",
)))))</f>
        <v>0</v>
      </c>
      <c r="CV4" s="81">
        <f>IF((CF4="mol. % oxide O2"),X4/2/20*100/(H4/60.084+I4/79.866+J4/101.961+K4/151.99+M4/71.844+2*L4/159.69+O4/70.937+P4/40.304+Q4/74.693+R4/81.38+S4/56.077+T4/61.979+U4/94.196+AH4/18.015+1/2*L4/159.69+AI4/44.01+W4/80.06/2+X4/20/2+Y4/2/35.453),
IF((CF4="mol. % oxide O"),X4/2/20*100/(H4/60.084+I4/79.866+J4/101.961+K4/151.99+M4/71.844+2*L4/159.69+O4/70.937+P4/40.304+Q4/74.693+R4/81.38+S4/56.077+T4/61.979+U4/94.196+AH4/18.015+L4/159.69+AI4/44.01+W4/80.06/2+X4/20/2+Y4/2/35.453),
IF((CF4="mol. % oxide Fe2O3"),X4/2/20*100/(H4/60.084+I4/79.866+J4/101.961+K4/151.99+M4/71.844+L4/159.69+O4/70.937+P4/40.304+Q4/74.693+R4/81.38+S4/56.077+T4/61.979+U4/94.196+AH4/18.015+AI4/44.01+W4/80.06/2+X4/20/2+Y4/2/35.453),
IF((CF4="mineral oxide O2"),BY4,
IF((CF4=""),"",
)))))</f>
        <v>0</v>
      </c>
      <c r="CW4" s="81">
        <f>IF((CF4="mol. % oxide O2"),Y4/2/35.453*100/(H4/60.084+I4/79.866+J4/101.961+K4/151.99+M4/71.844+2*L4/159.69+O4/70.937+P4/40.304+Q4/74.693+R4/81.38+S4/56.077+T4/61.979+U4/94.196+AH4/18.015+1/2*L4/159.69+AI4/44.01+W4/80.06/2+X4/20/2+Y4/2/35.453),
IF((CF4="mol. % oxide O"),Y4/2/35.453*100/(H4/60.084+I4/79.866+J4/101.961+K4/151.99+M4/71.844+2*L4/159.69+O4/70.937+P4/40.304+Q4/74.693+R4/81.38+S4/56.077+T4/61.979+U4/94.196+AH4/18.015+L4/159.69+AI4/44.01+W4/80.06/2+X4/20/2+Y4/2/35.453),
IF((CF4="mol. % oxide Fe2O3"),Y4/2/35.453*100/(H4/60.084+I4/79.866+J4/101.961+K4/151.99+M4/71.844+L4/159.69+O4/70.937+P4/40.304+Q4/74.693+R4/81.38+S4/56.077+T4/61.979+U4/94.196+AH4/18.015+AI4/44.01+W4/80.06/2+X4/20/2+Y4/2/35.453),
IF((CF4="mineral oxide O2"),BZ4,
IF((CF4=""),"",
)))))</f>
        <v>0</v>
      </c>
      <c r="CX4" s="81">
        <f>IF((CF4="mol. % oxide O2"),AH4/18.015*100/(H4/60.084+I4/79.866+J4/101.961+K4/151.99+M4/71.844+2*L4/159.69+O4/70.937+P4/40.304+Q4/74.693+R4/81.38+S4/56.077+T4/61.979+U4/94.196+AH4/18.015+1/2*L4/159.69),
IF((CF4="mol. % oxide O"),AH4/18.015*100/(H4/60.084+I4/79.866+J4/101.961+K4/151.99+M4/71.844+2*L4/159.69+O4/70.937+P4/40.304+Q4/74.693+R4/81.38+S4/56.077+T4/61.979+U4/94.196+AH4/18.015+L4/159.69),
IF((CF4="mol. % oxide Fe2O3"),AH4/18.015*100/(H4/60.084+I4/79.866+J4/101.961+K4/151.99+M4/71.844+L4/159.69+O4/70.937+P4/40.304+Q4/74.693+R4/81.38+S4/56.077+T4/61.979+U4/94.196+AH4/18.015),
IF((CF4="mineral oxide O2"),CA4,
IF((CF4=""),"",
)))))</f>
        <v>0</v>
      </c>
      <c r="CY4" s="81">
        <f>IF((CF4="mol. % oxide O2"),1/2*L4/159.69*100/(H4/60.084+I4/79.866+J4/101.961+K4/151.99+M4/71.844+2*L4/159.69+O4/70.937+P4/40.304+Q4/74.693+R4/81.38+S4/56.077+T4/61.979+U4/94.196+AH4/18.015+1/2*L4/159.69),
IF((CF4="mol. % oxide O"),L4/159.69*100/(H4/60.084+I4/79.866+J4/101.961+K4/151.99+M4/71.844+2*L4/159.69+O4/70.937+P4/40.304+Q4/74.693+R4/81.38+S4/56.077+T4/61.979+U4/94.196+AH4/18.015+L4/159.69),
IF((CF4="mol. % oxide Fe2O3"),L4/159.69*100/(H4/60.084+I4/79.866+J4/101.961+K4/151.99+M4/71.844+L4/159.69+O4/70.937+P4/40.304+Q4/74.693+R4/81.38+S4/56.077+T4/61.979+U4/94.196+AH4/18.015),
IF((CF4="mineral oxide O2"),BN4*1/4,
IF((CF4=""),"",
)))))</f>
        <v>0</v>
      </c>
      <c r="CZ4" s="81"/>
      <c r="DA4" s="67" t="s">
        <v>280</v>
      </c>
      <c r="DB4" s="60">
        <f t="shared" si="37"/>
        <v>50.008686618045992</v>
      </c>
      <c r="DC4" s="60">
        <f t="shared" si="38"/>
        <v>0</v>
      </c>
      <c r="DD4" s="67">
        <f t="shared" si="39"/>
        <v>0</v>
      </c>
      <c r="DE4" s="67">
        <f t="shared" si="40"/>
        <v>0</v>
      </c>
      <c r="DF4" s="94">
        <f t="shared" si="51"/>
        <v>49.991313381954008</v>
      </c>
      <c r="DG4" s="94">
        <f t="shared" si="41"/>
        <v>0</v>
      </c>
      <c r="DH4" s="95">
        <f t="shared" si="42"/>
        <v>0</v>
      </c>
      <c r="DI4" s="94">
        <f t="shared" si="43"/>
        <v>0</v>
      </c>
      <c r="DJ4" s="94">
        <f t="shared" si="44"/>
        <v>0</v>
      </c>
      <c r="DK4" s="94">
        <f t="shared" si="45"/>
        <v>0</v>
      </c>
      <c r="DL4" s="94">
        <f t="shared" si="46"/>
        <v>0</v>
      </c>
      <c r="DM4" s="94">
        <f t="shared" si="47"/>
        <v>0</v>
      </c>
      <c r="DN4" s="94">
        <f t="shared" si="48"/>
        <v>0</v>
      </c>
      <c r="DO4" s="94">
        <f t="shared" si="49"/>
        <v>0</v>
      </c>
      <c r="DP4" s="94">
        <f t="shared" si="50"/>
        <v>100</v>
      </c>
    </row>
    <row r="5" spans="1:120" s="28" customFormat="1" ht="16" customHeight="1">
      <c r="A5" s="4">
        <v>3</v>
      </c>
      <c r="B5" s="4"/>
      <c r="C5" s="5" t="s">
        <v>284</v>
      </c>
      <c r="D5" s="5" t="s">
        <v>282</v>
      </c>
      <c r="E5" s="4"/>
      <c r="F5" s="4"/>
      <c r="G5" s="4"/>
      <c r="H5" s="4">
        <v>59.85</v>
      </c>
      <c r="I5" s="4"/>
      <c r="J5" s="4"/>
      <c r="K5" s="4"/>
      <c r="L5" s="58"/>
      <c r="M5" s="59">
        <v>0</v>
      </c>
      <c r="N5" s="60">
        <f>L5*1/((159.69/71.844)/2)+M5</f>
        <v>0</v>
      </c>
      <c r="O5" s="4"/>
      <c r="P5" s="4">
        <v>40.15</v>
      </c>
      <c r="Q5" s="39"/>
      <c r="R5" s="39"/>
      <c r="S5" s="4"/>
      <c r="T5" s="4"/>
      <c r="U5" s="4"/>
      <c r="V5" s="39"/>
      <c r="W5" s="60"/>
      <c r="X5" s="39"/>
      <c r="Y5" s="39"/>
      <c r="Z5" s="70"/>
      <c r="AA5" s="70"/>
      <c r="AB5" s="24">
        <f t="shared" si="0"/>
        <v>0</v>
      </c>
      <c r="AC5" s="24">
        <f t="shared" si="1"/>
        <v>0</v>
      </c>
      <c r="AD5" s="24">
        <f t="shared" si="2"/>
        <v>100</v>
      </c>
      <c r="AE5" s="24"/>
      <c r="AF5" s="71">
        <v>0</v>
      </c>
      <c r="AG5" s="97"/>
      <c r="AH5" s="97"/>
      <c r="AI5" s="79"/>
      <c r="AJ5" s="60"/>
      <c r="AK5" s="60"/>
      <c r="AL5" s="60"/>
      <c r="AM5" s="60"/>
      <c r="AN5" s="60"/>
      <c r="AO5" s="60">
        <f t="shared" si="3"/>
        <v>0</v>
      </c>
      <c r="AP5" s="124">
        <f t="shared" si="4"/>
        <v>100</v>
      </c>
      <c r="AQ5" s="126"/>
      <c r="AR5" s="126"/>
      <c r="AS5" s="140">
        <f t="shared" si="5"/>
        <v>0</v>
      </c>
      <c r="AT5" s="140">
        <f t="shared" si="6"/>
        <v>0</v>
      </c>
      <c r="AU5" s="140">
        <f t="shared" si="7"/>
        <v>0</v>
      </c>
      <c r="AV5" s="140">
        <f t="shared" si="8"/>
        <v>0</v>
      </c>
      <c r="AW5" s="140">
        <f t="shared" si="9"/>
        <v>0</v>
      </c>
      <c r="AX5" s="140">
        <f t="shared" si="10"/>
        <v>0</v>
      </c>
      <c r="AY5" s="140">
        <f t="shared" si="11"/>
        <v>0</v>
      </c>
      <c r="AZ5" s="126"/>
      <c r="BA5" s="68" t="s">
        <v>146</v>
      </c>
      <c r="BB5" s="124"/>
      <c r="BC5" s="96" t="s">
        <v>96</v>
      </c>
      <c r="BD5" s="124"/>
      <c r="BE5" s="50">
        <f t="shared" si="12"/>
        <v>100</v>
      </c>
      <c r="BF5" s="50">
        <f t="shared" si="13"/>
        <v>66.667850542044476</v>
      </c>
      <c r="BG5" s="51"/>
      <c r="BH5" s="12"/>
      <c r="BI5" s="76">
        <f t="shared" si="14"/>
        <v>33.332149457955516</v>
      </c>
      <c r="BJ5" s="76">
        <f t="shared" si="15"/>
        <v>0</v>
      </c>
      <c r="BK5" s="76">
        <f t="shared" si="16"/>
        <v>0</v>
      </c>
      <c r="BL5" s="76">
        <f t="shared" si="17"/>
        <v>0</v>
      </c>
      <c r="BM5" s="76">
        <f t="shared" si="18"/>
        <v>0</v>
      </c>
      <c r="BN5" s="77">
        <f t="shared" si="19"/>
        <v>0</v>
      </c>
      <c r="BO5" s="76">
        <f t="shared" si="20"/>
        <v>0</v>
      </c>
      <c r="BP5" s="76">
        <f t="shared" si="21"/>
        <v>33.33570108408896</v>
      </c>
      <c r="BQ5" s="76">
        <f t="shared" si="22"/>
        <v>0</v>
      </c>
      <c r="BR5" s="76">
        <f t="shared" si="23"/>
        <v>0</v>
      </c>
      <c r="BS5" s="76">
        <f t="shared" si="24"/>
        <v>0</v>
      </c>
      <c r="BT5" s="76">
        <f t="shared" si="25"/>
        <v>0</v>
      </c>
      <c r="BU5" s="76">
        <f t="shared" si="26"/>
        <v>0</v>
      </c>
      <c r="BV5" s="76">
        <f t="shared" si="27"/>
        <v>0</v>
      </c>
      <c r="BW5" s="76">
        <f t="shared" si="28"/>
        <v>0</v>
      </c>
      <c r="BX5" s="76">
        <f t="shared" si="29"/>
        <v>0</v>
      </c>
      <c r="BY5" s="78">
        <f t="shared" si="30"/>
        <v>0</v>
      </c>
      <c r="BZ5" s="76">
        <f t="shared" si="31"/>
        <v>0</v>
      </c>
      <c r="CA5" s="76">
        <f t="shared" si="32"/>
        <v>0</v>
      </c>
      <c r="CB5" s="76">
        <f t="shared" si="33"/>
        <v>50</v>
      </c>
      <c r="CC5" s="12">
        <f t="shared" si="34"/>
        <v>66.667850542044476</v>
      </c>
      <c r="CD5" s="12">
        <f t="shared" si="35"/>
        <v>100</v>
      </c>
      <c r="CE5" s="12"/>
      <c r="CF5" s="67" t="str">
        <f t="shared" si="36"/>
        <v>mol % oxide O2</v>
      </c>
      <c r="CG5" s="81">
        <f t="shared" si="52"/>
        <v>49.998153202142284</v>
      </c>
      <c r="CH5" s="81">
        <f t="shared" ref="CH5:CH15" si="53">IF((CF5="mol % oxide O2"),I5/79.866*100/(H5/60.084+I5/79.866+J5/101.961+K5/151.99+M5/71.844+2*L5/159.69+O5/70.937+P5/40.304+Q5/74.693+R5/81.38+S5/56.077+T5/61.979+U5/94.196+AH5/18.015+1/2*L5/159.69),
IF((CF5="mol % oxide O"),I5/79.866*100/(H5/60.084+I5/79.866+J5/101.961+K5/151.99+M5/71.844+2*L5/159.69+O5/70.937+P5/40.304+Q5/74.693+R5/81.38+S5/56.077+T5/61.979+U5/94.196+AH5/18.015+L5/159.69),
IF((CF5="mol % oxide Fe2O3"),I5/79.866*100/(H5/60.084+I5/79.866+J5/101.961+K5/151.99+M5/71.844+L5/159.69+O5/70.937+P5/40.304+Q5/74.693+R5/81.38+S5/56.077+T5/61.979+U5/94.196+AH5/18.015),
IF((CF5="mineral oxide O2"),BJ5,
IF((CF5=""),"",
)))))</f>
        <v>0</v>
      </c>
      <c r="CI5" s="81">
        <f t="shared" ref="CI5:CI15" si="54">IF((CF5="mol % oxide O2"),J5/101.961*100/(H5/60.084+I5/79.866+J5/101.961+K5/151.99+M5/71.844+2*L5/159.69+O5/70.937+P5/40.304+Q5/74.693+R5/81.38+S5/56.077+T5/61.979+U5/94.196+AH5/18.015+1/2*L5/159.69),
IF((CF5="mol % oxide O"),J5/101.961*100/(H5/60.084+I5/79.866+J5/101.961+K5/151.99+M5/71.844+2*L5/159.69+O5/70.937+P5/40.304+Q5/74.693+R5/81.38+S5/56.077+T5/61.979+U5/94.196+AH5/18.015+L5/159.69),
IF((CF5="mol % oxide Fe2O3"),J5/101.961*100/(H5/60.084+I5/79.866+J5/101.961+K5/151.99+M5/71.844+L5/159.69+O5/70.937+P5/40.304+Q5/74.693+R5/81.38+S5/56.077+T5/61.979+U5/94.196+AH5/18.015),
IF((CF5="mineral oxide O2"),BK5/2,
IF((CF5=""),"",
)))))</f>
        <v>0</v>
      </c>
      <c r="CJ5" s="81">
        <f t="shared" ref="CJ5:CJ15" si="55">IF((CF5="mol % oxide O2"),K5/151.99*100/(H5/60.084+I5/79.866+J5/101.961+K5/151.99+M5/71.844+2*L5/159.69+O5/70.937+P5/40.304+Q5/74.693+R5/81.38+S5/56.077+T5/61.979+U5/94.196+AH5/18.015+1/2*L5/159.69),
IF((CF5="mol % oxide O"),K5/151.99*100/(H5/60.084+I5/79.866+J5/101.961+K5/151.99+M5/71.844+2*L5/159.69+O5/70.937+P5/40.304+Q5/74.693+R5/81.38+S5/56.077+T5/61.979+U5/94.196+AH5/18.015+L5/159.69),
IF((CF5="mol % oxide Fe2O3"),K5/151.99*100/(H5/60.084+I5/79.866+J5/101.961+K5/151.99+M5/71.844+L5/159.69+O5/70.937+P5/40.304+Q5/74.693+R5/81.38+S5/56.077+T5/61.979+U5/94.196+AH5/18.015),
IF((CF5="mineral oxide O2"),BL5/2,
IF((CF5=""),"",
)))))</f>
        <v>0</v>
      </c>
      <c r="CK5" s="81">
        <f t="shared" ref="CK5:CK15" si="56">IF((CF5="mol % oxide O2"),(M5/71.844+2*L5/159.69)*100/(H5/60.084+I5/79.866+J5/101.961+K5/151.99+M5/71.844+2*L5/159.69+O5/70.937+P5/40.304+Q5/74.693+R5/81.38+S5/56.077+T5/61.979+U5/94.196+AH5/18.015+1/2*L5/159.69),
IF((CF5="mol % oxide O"),(M5/71.844+2*L5/159.69)*100/(H5/60.084+I5/79.866+J5/101.961+K5/151.99+M5/71.844+2*L5/159.69+O5/70.937+P5/40.304+Q5/74.693+R5/81.38+S5/56.077+T5/61.979+U5/94.196+AH5/18.015+L5/159.69),
IF((CF5="mol % oxide Fe2O3"),M5/71.844*100/(H5/60.084+I5/79.866+J5/101.961+K5/151.99+M5/71.844+L5/159.69+O5/70.937+P5/40.304+Q5/74.693+R5/81.38+S5/56.077+T5/61.979+U5/94.196+AH5/18.015),
IF((CF5="mineral oxide O2"),BN5+BM5,
IF((CF5=""),"",
)))))</f>
        <v>0</v>
      </c>
      <c r="CL5" s="81">
        <f t="shared" ref="CL5:CL15" si="57">IF((CF5="mol % oxide O2"),O5/70.937*100/(H5/60.084+I5/79.866+J5/101.961+K5/151.99+M5/71.844+2*L5/159.69+O5/70.937+P5/40.304+Q5/74.693+R5/81.38+S5/56.077+T5/61.979+U5/94.196+AH5/18.015+1/2*L5/159.69),
IF((CF5="mol % oxide O"),O5/70.937*100/(H5/60.084+I5/79.866+J5/101.961+K5/151.99+M5/71.844+2*L5/159.69+O5/70.937+P5/40.304+Q5/74.693+R5/81.38+S5/56.077+T5/61.979+U5/94.196+AH5/18.015+L5/159.69),
IF((CF5="mol % oxide Fe2O3"),O5/70.937*100/(H5/60.084+I5/79.866+J5/101.961+K5/151.99+M5/71.844+L5/159.69+O5/70.937+P5/40.304+Q5/74.693+R5/81.38+S5/56.077+T5/61.979+U5/94.196+AH5/18.015),
IF((CF5="mineral oxide O2"),BO5,
IF((CF5=""),"",
)))))</f>
        <v>0</v>
      </c>
      <c r="CM5" s="81">
        <f t="shared" ref="CM5:CM15" si="58">IF((CF5="mol % oxide O2"),P5/40.304*100/(H5/60.084+I5/79.866+J5/101.961+K5/151.99+M5/71.844+2*L5/159.69+O5/70.937+P5/40.304+Q5/74.693+R5/81.38+S5/56.077+T5/61.979+U5/94.196+AH5/18.015+1/2*L5/159.69),
IF((CF5="mol % oxide O"),P5/40.304*100/(H5/60.084+I5/79.866+J5/101.961+K5/151.99+M5/71.844+2*L5/159.69+O5/70.937+P5/40.304+Q5/74.693+R5/81.38+S5/56.077+T5/61.979+U5/94.196+AH5/18.015+L5/159.69),
IF((CF5="mol % oxide Fe2O3"),P5/40.304*100/(H5/60.084+I5/79.866+J5/101.961+K5/151.99+M5/71.844+L5/159.69+O5/70.937+P5/40.304+Q5/74.693+R5/81.38+S5/56.077+T5/61.979+U5/94.196+AH5/18.015),
IF((CF5="mineral oxide O2"),BP5,
IF((CF5=""),"",
)))))</f>
        <v>50.001846797857716</v>
      </c>
      <c r="CN5" s="81">
        <f t="shared" ref="CN5:CN15" si="59">IF((CF5="mol % oxide O2"),Q5/74.693*100/(H5/60.084+I5/79.866+J5/101.961+K5/151.99+M5/71.844+2*L5/159.69+O5/70.937+P5/40.304+Q5/74.693+R5/81.38+S5/56.077+T5/61.979+U5/94.196+AH5/18.015+1/2*L5/159.69),
IF((CF5="mol % oxide O"),Q5/74.693*100/(H5/60.084+I5/79.866+J5/101.961+K5/151.99+M5/71.844+2*L5/159.69+O5/70.937+P5/40.304+Q5/74.693+R5/81.38+S5/56.077+T5/61.979+U5/94.196+AH5/18.015+L5/159.69),
IF((CF5="mol % oxide Fe2O3"),Q5/74.693*100/(H5/60.084+I5/79.866+J5/101.961+K5/151.99+M5/71.844+L5/159.69+O5/70.937+P5/40.304+Q5/74.693+R5/81.38+S5/56.077+T5/61.979+U5/94.196+AH5/18.015),
IF((CF5="mineral oxide O2"),BQ5,
IF((CF5=""),"",
)))))</f>
        <v>0</v>
      </c>
      <c r="CO5" s="81">
        <f t="shared" ref="CO5:CO15" si="60">IF((CF5="mol % oxide O2"),R5/81.38*100/(H5/60.084+I5/79.866+J5/101.961+K5/151.99+M5/71.844+2*L5/159.69+O5/70.937+P5/40.304+Q5/74.693+R5/81.38+S5/56.077+T5/61.979+U5/94.196+AH5/18.015+1/2*L5/159.69),
IF((CF5="mol % oxide O"),R5/81.38*100/(H5/60.084+I5/79.866+J5/101.961+K5/151.99+M5/71.844+2*L5/159.69+O5/70.937+P5/40.304+Q5/74.693+R5/81.38+S5/56.077+T5/61.979+U5/94.196+AH5/18.015+L5/159.69),
IF((CF5="mol % oxide Fe2O3"),R5/81.38*100/(H5/60.084+I5/79.866+J5/101.961+K5/151.99+M5/71.844+L5/159.69+O5/70.937+P5/40.304+Q5/74.693+R5/81.38+S5/56.077+T5/61.979+U5/94.196+AH5/18.015),
IF((CF5="mineral oxide O2"),BR5,
IF((CF5=""),"",
)))))</f>
        <v>0</v>
      </c>
      <c r="CP5" s="81">
        <f t="shared" ref="CP5:CP15" si="61">IF((CF5="mol % oxide O2"),S5/56.077*100/(H5/60.084+I5/79.866+J5/101.961+K5/151.99+M5/71.844+2*L5/159.69+O5/70.937+P5/40.304+Q5/74.693+R5/81.38+S5/56.077+T5/61.979+U5/94.196+AH5/18.015+1/2*L5/159.69),
IF((CF5="mol % oxide O"),S5/56.077*100/(H5/60.084+I5/79.866+J5/101.961+K5/151.99+M5/71.844+2*L5/159.69+O5/70.937+P5/40.304+Q5/74.693+R5/81.38+S5/56.077+T5/61.979+U5/94.196+AH5/18.015+L5/159.69),
IF((CF5="mol % oxide Fe2O3"),S5/56.077*100/(H5/60.084+I5/79.866+J5/101.961+K5/151.99+M5/71.844+L5/159.69+O5/70.937+P5/40.304+Q5/74.693+R5/81.38+S5/56.077+T5/61.979+U5/94.196+AH5/18.015),
IF((CF5="mineral oxide O2"),BS5,
IF((CF5=""),"",
)))))</f>
        <v>0</v>
      </c>
      <c r="CQ5" s="81">
        <f t="shared" ref="CQ5:CQ15" si="62">IF((CF5="mol % oxide O2"),T5/61.979*100/(H5/60.084+I5/79.866+J5/101.961+K5/151.99+M5/71.844+2*L5/159.69+O5/70.937+P5/40.304+Q5/74.693+R5/81.38+S5/56.077+T5/61.979+U5/94.196+AH5/18.015+1/2*L5/159.69),
IF((CF5="mol % oxide O"),T5/61.979*100/(H5/60.084+I5/79.866+J5/101.961+K5/151.99+M5/71.844+2*L5/159.69+O5/70.937+P5/40.304+Q5/74.693+R5/81.38+S5/56.077+T5/61.979+U5/94.196+AH5/18.015+L5/159.69),
IF((CF5="mol % oxide Fe2O3"),T5/61.979*100/(H5/60.084+I5/79.866+J5/101.961+K5/151.99+M5/71.844+L5/159.69+O5/70.937+P5/40.304+Q5/74.693+R5/81.38+S5/56.077+T5/61.979+U5/94.196+AH5/18.015),
IF((CF5="mineral oxide O2"),BT5/2,
IF((CF5=""),"",
)))))</f>
        <v>0</v>
      </c>
      <c r="CR5" s="81">
        <f t="shared" ref="CR5:CR15" si="63">IF((CF5="mol % oxide O2"),U5/94.196*100/(H5/60.084+I5/79.866+J5/101.961+K5/151.99+M5/71.844+2*L5/159.69+O5/70.937+P5/40.304+Q5/74.693+R5/81.38+S5/56.077+T5/61.979+U5/94.196+AH5/18.015+1/2*L5/159.69),
IF((CF5="mol % oxide O"),U5/94.196*100/(H5/60.084+I5/79.866+J5/101.961+K5/151.99+M5/71.844+2*L5/159.69+O5/70.937+P5/40.304+Q5/74.693+R5/81.38+S5/56.077+T5/61.979+U5/94.196+AH5/18.015+L5/159.69),
IF((CF5="mol % oxide Fe2O3"),U5/94.196*100/(H5/60.084+I5/79.866+J5/101.961+K5/151.99+M5/71.844+L5/159.69+O5/70.937+P5/40.304+Q5/74.693+R5/81.38+S5/56.077+T5/61.979+U5/94.196+AH5/18.015),
IF((CF5="mineral oxide O2"),BU5/2,
IF((CF5=""),"",
)))))</f>
        <v>0</v>
      </c>
      <c r="CS5" s="81">
        <f t="shared" ref="CS5:CS15" si="64">IF((CF5="mol % oxide O2"),V5/141.943*100/(H5/60.084+I5/79.866+J5/101.961+K5/151.99+M5/71.844+2*L5/159.69+O5/70.937+P5/40.304+Q5/74.693+R5/81.38+S5/56.077+T5/61.979+U5/94.196+AH5/18.015+1/2*L5/159.69),
IF((CF5="mol % oxide O"),V5/141.943*100/(H5/60.084+I5/79.866+J5/101.961+K5/151.99+M5/71.844+2*L5/159.69+O5/70.937+P5/40.304+Q5/74.693+R5/81.38+S5/56.077+T5/61.979+U5/94.196+AH5/18.015+L5/159.69),
IF((CF5="mol % oxide Fe2O3"),V5/141.943*100/(H5/60.084+I5/79.866+J5/101.961+K5/151.99+M5/71.844+L5/159.69+O5/70.937+P5/40.304+Q5/74.693+R5/81.38+S5/56.077+T5/61.979+U5/94.196+AH5/18.015),
IF((CF5="mineral oxide O2"),BV5/2,
IF((CF5=""),"",
)))))</f>
        <v>0</v>
      </c>
      <c r="CT5" s="81">
        <f>IF((CF5="mol. % oxide O2"),AI5/44.01*100/(H5/60.084+I5/79.866+J5/101.961+K5/151.99+M5/71.844+2*L5/159.69+O5/70.937+P5/40.304+Q5/74.693+R5/81.38+S5/56.077+T5/61.979+U5/94.196+AH5/18.015+1/2*L5/159.69+AI5/44.01+W5/80.06/2+X5/20/2+Y5/2/35.453),
IF((CF5="mol. % oxide O"),AI5/44.01*100/(H5/60.084+I5/79.866+J5/101.961+K5/151.99+M5/71.844+2*L5/159.69+O5/70.937+P5/40.304+Q5/74.693+R5/81.38+S5/56.077+T5/61.979+U5/94.196+AH5/18.015+L5/159.69+AI5/44.01+W5/80.06/2+X5/20/2+Y5/2/35.453),
IF((CF5="mol. % oxide Fe2O3"),AI5/44.01*100/(H5/60.084+I5/79.866+J5/101.961+K5/151.99+M5/71.844+L5/159.69+O5/70.937+P5/40.304+Q5/74.693+R5/81.38+S5/56.077+T5/61.979+U5/94.196+AH5/18.015+AI5/44.01+W5/80.06/2+X5/20/2+Y5/2/35.453),
IF((CF5="mineral oxide O2"),BW5,
IF((CF5=""),"",
)))))</f>
        <v>0</v>
      </c>
      <c r="CU5" s="81">
        <f>IF((CF5="mol. % oxide O2"),W5/80.06/2*100/(H5/60.084+I5/79.866+J5/101.961+K5/151.99+M5/71.844+2*L5/159.69+O5/70.937+P5/40.304+Q5/74.693+R5/81.38+S5/56.077+T5/61.979+U5/94.196+AH5/18.015+1/2*L5/159.69+AI5/44.01+W5/80.06/2+X5/20/2+Y5/2/35.453),
IF((CF5="mol. % oxide O"),W5/80.06/2*100/(H5/60.084+I5/79.866+J5/101.961+K5/151.99+M5/71.844+2*L5/159.69+O5/70.937+P5/40.304+Q5/74.693+R5/81.38+S5/56.077+T5/61.979+U5/94.196+AH5/18.015+L5/159.69+AI5/44.01+W5/80.06/2+X5/20/2+Y5/2/35.453),
IF((CF5="mol. % oxide Fe2O3"),W5/80.06/2*100/(H5/60.084+I5/79.866+J5/101.961+K5/151.99+M5/71.844+L5/159.69+O5/70.937+P5/40.304+Q5/74.693+R5/81.38+S5/56.077+T5/61.979+U5/94.196+AH5/18.015+AI5/44.01+W5/80.06/2+X5/20/2+Y5/2/35.453),
IF((CF5="mineral oxide O2"),BW5,
IF((CF5=""),"",
)))))</f>
        <v>0</v>
      </c>
      <c r="CV5" s="81">
        <f>IF((CF5="mol. % oxide O2"),X5/2/20*100/(H5/60.084+I5/79.866+J5/101.961+K5/151.99+M5/71.844+2*L5/159.69+O5/70.937+P5/40.304+Q5/74.693+R5/81.38+S5/56.077+T5/61.979+U5/94.196+AH5/18.015+1/2*L5/159.69+AI5/44.01+W5/80.06/2+X5/20/2+Y5/2/35.453),
IF((CF5="mol. % oxide O"),X5/2/20*100/(H5/60.084+I5/79.866+J5/101.961+K5/151.99+M5/71.844+2*L5/159.69+O5/70.937+P5/40.304+Q5/74.693+R5/81.38+S5/56.077+T5/61.979+U5/94.196+AH5/18.015+L5/159.69+AI5/44.01+W5/80.06/2+X5/20/2+Y5/2/35.453),
IF((CF5="mol. % oxide Fe2O3"),X5/2/20*100/(H5/60.084+I5/79.866+J5/101.961+K5/151.99+M5/71.844+L5/159.69+O5/70.937+P5/40.304+Q5/74.693+R5/81.38+S5/56.077+T5/61.979+U5/94.196+AH5/18.015+AI5/44.01+W5/80.06/2+X5/20/2+Y5/2/35.453),
IF((CF5="mineral oxide O2"),BY5,
IF((CF5=""),"",
)))))</f>
        <v>0</v>
      </c>
      <c r="CW5" s="81">
        <f>IF((CF5="mol. % oxide O2"),Y5/2/35.453*100/(H5/60.084+I5/79.866+J5/101.961+K5/151.99+M5/71.844+2*L5/159.69+O5/70.937+P5/40.304+Q5/74.693+R5/81.38+S5/56.077+T5/61.979+U5/94.196+AH5/18.015+1/2*L5/159.69+AI5/44.01+W5/80.06/2+X5/20/2+Y5/2/35.453),
IF((CF5="mol. % oxide O"),Y5/2/35.453*100/(H5/60.084+I5/79.866+J5/101.961+K5/151.99+M5/71.844+2*L5/159.69+O5/70.937+P5/40.304+Q5/74.693+R5/81.38+S5/56.077+T5/61.979+U5/94.196+AH5/18.015+L5/159.69+AI5/44.01+W5/80.06/2+X5/20/2+Y5/2/35.453),
IF((CF5="mol. % oxide Fe2O3"),Y5/2/35.453*100/(H5/60.084+I5/79.866+J5/101.961+K5/151.99+M5/71.844+L5/159.69+O5/70.937+P5/40.304+Q5/74.693+R5/81.38+S5/56.077+T5/61.979+U5/94.196+AH5/18.015+AI5/44.01+W5/80.06/2+X5/20/2+Y5/2/35.453),
IF((CF5="mineral oxide O2"),BZ5,
IF((CF5=""),"",
)))))</f>
        <v>0</v>
      </c>
      <c r="CX5" s="81">
        <f t="shared" ref="CX5:CX15" si="65">IF((CF5="mol % oxide O2"),AH5/18.015*100/(H5/60.084+I5/79.866+J5/101.961+K5/151.99+M5/71.844+2*L5/159.69+O5/70.937+P5/40.304+Q5/74.693+R5/81.38+S5/56.077+T5/61.979+U5/94.196+AH5/18.015+1/2*L5/159.69),
IF((CF5="mol % oxide O"),AH5/18.015*100/(H5/60.084+I5/79.866+J5/101.961+K5/151.99+M5/71.844+2*L5/159.69+O5/70.937+P5/40.304+Q5/74.693+R5/81.38+S5/56.077+T5/61.979+U5/94.196+AH5/18.015+L5/159.69),
IF((CF5="mol % oxide Fe2O3"),AH5/18.015*100/(H5/60.084+I5/79.866+J5/101.961+K5/151.99+M5/71.844+L5/159.69+O5/70.937+P5/40.304+Q5/74.693+R5/81.38+S5/56.077+T5/61.979+U5/94.196+AH5/18.015),
IF((CF5="mineral oxide O2"),CA5,
IF((CF5=""),"",
)))))</f>
        <v>0</v>
      </c>
      <c r="CY5" s="81">
        <f t="shared" ref="CY5:CY15" si="66">IF((CF5="mol % oxide O2"),1/2*L5/159.69*100/(H5/60.084+I5/79.866+J5/101.961+K5/151.99+M5/71.844+2*L5/159.69+O5/70.937+P5/40.304+Q5/74.693+R5/81.38+S5/56.077+T5/61.979+U5/94.196+AH5/18.015+1/2*L5/159.69),
IF((CF5="mol % oxide O"),L5/159.69*100/(H5/60.084+I5/79.866+J5/101.961+K5/151.99+M5/71.844+2*L5/159.69+O5/70.937+P5/40.304+Q5/74.693+R5/81.38+S5/56.077+T5/61.979+U5/94.196+AH5/18.015+L5/159.69),
IF((CF5="mol % oxide Fe2O3"),L5/159.69*100/(H5/60.084+I5/79.866+J5/101.961+K5/151.99+M5/71.844+L5/159.69+O5/70.937+P5/40.304+Q5/74.693+R5/81.38+S5/56.077+T5/61.979+U5/94.196+AH5/18.015),
IF((CF5="mineral oxide O2"),BN5*1/4,
IF((CF5=""),"",
)))))</f>
        <v>0</v>
      </c>
      <c r="CZ5" s="81"/>
      <c r="DA5" s="67" t="s">
        <v>280</v>
      </c>
      <c r="DB5" s="60">
        <f t="shared" si="37"/>
        <v>66.664298915911033</v>
      </c>
      <c r="DC5" s="60">
        <f t="shared" si="38"/>
        <v>0</v>
      </c>
      <c r="DD5" s="67">
        <f t="shared" si="39"/>
        <v>0</v>
      </c>
      <c r="DE5" s="67">
        <f t="shared" si="40"/>
        <v>0</v>
      </c>
      <c r="DF5" s="94">
        <f t="shared" si="51"/>
        <v>0</v>
      </c>
      <c r="DG5" s="94">
        <f t="shared" si="41"/>
        <v>0</v>
      </c>
      <c r="DH5" s="95">
        <f t="shared" si="42"/>
        <v>33.33570108408896</v>
      </c>
      <c r="DI5" s="94">
        <f t="shared" si="43"/>
        <v>0</v>
      </c>
      <c r="DJ5" s="94">
        <f t="shared" si="44"/>
        <v>0</v>
      </c>
      <c r="DK5" s="94">
        <f t="shared" si="45"/>
        <v>0</v>
      </c>
      <c r="DL5" s="94">
        <f t="shared" si="46"/>
        <v>0</v>
      </c>
      <c r="DM5" s="94">
        <f t="shared" si="47"/>
        <v>0</v>
      </c>
      <c r="DN5" s="94">
        <f t="shared" si="48"/>
        <v>0</v>
      </c>
      <c r="DO5" s="94">
        <f t="shared" si="49"/>
        <v>0</v>
      </c>
      <c r="DP5" s="94">
        <f t="shared" si="50"/>
        <v>100</v>
      </c>
    </row>
    <row r="6" spans="1:120" s="28" customFormat="1" ht="16" customHeight="1">
      <c r="A6" s="4">
        <v>4</v>
      </c>
      <c r="B6" s="4"/>
      <c r="C6" s="5" t="s">
        <v>285</v>
      </c>
      <c r="D6" s="5" t="s">
        <v>282</v>
      </c>
      <c r="E6" s="4"/>
      <c r="F6" s="4"/>
      <c r="G6" s="4"/>
      <c r="H6" s="4">
        <v>51.73</v>
      </c>
      <c r="I6" s="4"/>
      <c r="J6" s="4"/>
      <c r="K6" s="4"/>
      <c r="L6" s="58"/>
      <c r="M6" s="59">
        <v>30.93</v>
      </c>
      <c r="N6" s="60">
        <f>L6*1/((159.69/71.844)/2)+M6</f>
        <v>30.93</v>
      </c>
      <c r="O6" s="4"/>
      <c r="P6" s="4">
        <v>17.350000000000001</v>
      </c>
      <c r="Q6" s="39"/>
      <c r="R6" s="39"/>
      <c r="S6" s="4"/>
      <c r="T6" s="4"/>
      <c r="U6" s="4"/>
      <c r="V6" s="39"/>
      <c r="W6" s="60"/>
      <c r="X6" s="39"/>
      <c r="Y6" s="39"/>
      <c r="Z6" s="70"/>
      <c r="AA6" s="70"/>
      <c r="AB6" s="24">
        <f t="shared" si="0"/>
        <v>0</v>
      </c>
      <c r="AC6" s="24">
        <f t="shared" si="1"/>
        <v>0</v>
      </c>
      <c r="AD6" s="24">
        <f t="shared" si="2"/>
        <v>100.00999999999999</v>
      </c>
      <c r="AE6" s="24"/>
      <c r="AF6" s="71">
        <f t="shared" ref="AF6:AF15" si="67">IF(M6&lt;&gt;"",2*L6/159.69/(N6/71.844),0)</f>
        <v>0</v>
      </c>
      <c r="AG6" s="97"/>
      <c r="AH6" s="97"/>
      <c r="AI6" s="79"/>
      <c r="AJ6" s="60"/>
      <c r="AK6" s="60"/>
      <c r="AL6" s="60"/>
      <c r="AM6" s="60"/>
      <c r="AN6" s="60"/>
      <c r="AO6" s="60">
        <f t="shared" si="3"/>
        <v>-3.43323</v>
      </c>
      <c r="AP6" s="124">
        <f t="shared" si="4"/>
        <v>100.00999999999999</v>
      </c>
      <c r="AQ6" s="126"/>
      <c r="AR6" s="126"/>
      <c r="AS6" s="140">
        <f t="shared" si="5"/>
        <v>0</v>
      </c>
      <c r="AT6" s="140">
        <f t="shared" si="6"/>
        <v>0</v>
      </c>
      <c r="AU6" s="140">
        <f t="shared" si="7"/>
        <v>24.039768647153995</v>
      </c>
      <c r="AV6" s="140">
        <f t="shared" si="8"/>
        <v>0</v>
      </c>
      <c r="AW6" s="140">
        <f t="shared" si="9"/>
        <v>0</v>
      </c>
      <c r="AX6" s="140">
        <f t="shared" si="10"/>
        <v>0</v>
      </c>
      <c r="AY6" s="140">
        <f t="shared" si="11"/>
        <v>0</v>
      </c>
      <c r="AZ6" s="126"/>
      <c r="BA6" s="68" t="s">
        <v>146</v>
      </c>
      <c r="BB6" s="124"/>
      <c r="BC6" s="96" t="s">
        <v>96</v>
      </c>
      <c r="BD6" s="124"/>
      <c r="BE6" s="50">
        <f t="shared" si="12"/>
        <v>100</v>
      </c>
      <c r="BF6" s="50">
        <f t="shared" si="13"/>
        <v>66.66644234448944</v>
      </c>
      <c r="BG6" s="51"/>
      <c r="BH6" s="12"/>
      <c r="BI6" s="76">
        <f t="shared" si="14"/>
        <v>33.333557655510546</v>
      </c>
      <c r="BJ6" s="76">
        <f t="shared" si="15"/>
        <v>0</v>
      </c>
      <c r="BK6" s="76">
        <f t="shared" si="16"/>
        <v>0</v>
      </c>
      <c r="BL6" s="76">
        <f t="shared" si="17"/>
        <v>0</v>
      </c>
      <c r="BM6" s="76">
        <f t="shared" si="18"/>
        <v>16.665650161250056</v>
      </c>
      <c r="BN6" s="77">
        <f t="shared" si="19"/>
        <v>0</v>
      </c>
      <c r="BO6" s="76">
        <f t="shared" si="20"/>
        <v>0</v>
      </c>
      <c r="BP6" s="76">
        <f t="shared" si="21"/>
        <v>16.667234527728841</v>
      </c>
      <c r="BQ6" s="76">
        <f t="shared" si="22"/>
        <v>0</v>
      </c>
      <c r="BR6" s="76">
        <f t="shared" si="23"/>
        <v>0</v>
      </c>
      <c r="BS6" s="76">
        <f t="shared" si="24"/>
        <v>0</v>
      </c>
      <c r="BT6" s="76">
        <f t="shared" si="25"/>
        <v>0</v>
      </c>
      <c r="BU6" s="76">
        <f t="shared" si="26"/>
        <v>0</v>
      </c>
      <c r="BV6" s="76">
        <f t="shared" si="27"/>
        <v>0</v>
      </c>
      <c r="BW6" s="76">
        <f t="shared" si="28"/>
        <v>0</v>
      </c>
      <c r="BX6" s="76">
        <f t="shared" si="29"/>
        <v>0</v>
      </c>
      <c r="BY6" s="78">
        <f t="shared" si="30"/>
        <v>0</v>
      </c>
      <c r="BZ6" s="76">
        <f t="shared" si="31"/>
        <v>0</v>
      </c>
      <c r="CA6" s="76">
        <f t="shared" si="32"/>
        <v>0</v>
      </c>
      <c r="CB6" s="76">
        <f t="shared" si="33"/>
        <v>49.999999999999993</v>
      </c>
      <c r="CC6" s="12">
        <f t="shared" si="34"/>
        <v>66.66644234448944</v>
      </c>
      <c r="CD6" s="12">
        <f t="shared" si="35"/>
        <v>99.999999999999986</v>
      </c>
      <c r="CE6" s="12"/>
      <c r="CF6" s="67" t="str">
        <f t="shared" si="36"/>
        <v>mol % oxide O2</v>
      </c>
      <c r="CG6" s="81">
        <f t="shared" si="52"/>
        <v>49.999037087102877</v>
      </c>
      <c r="CH6" s="81">
        <f t="shared" si="53"/>
        <v>0</v>
      </c>
      <c r="CI6" s="81">
        <f t="shared" si="54"/>
        <v>0</v>
      </c>
      <c r="CJ6" s="81">
        <f t="shared" si="55"/>
        <v>0</v>
      </c>
      <c r="CK6" s="81">
        <f t="shared" si="56"/>
        <v>25.00157770484865</v>
      </c>
      <c r="CL6" s="81">
        <f t="shared" si="57"/>
        <v>0</v>
      </c>
      <c r="CM6" s="81">
        <f t="shared" si="58"/>
        <v>24.999385208048469</v>
      </c>
      <c r="CN6" s="81">
        <f t="shared" si="59"/>
        <v>0</v>
      </c>
      <c r="CO6" s="81">
        <f t="shared" si="60"/>
        <v>0</v>
      </c>
      <c r="CP6" s="81">
        <f t="shared" si="61"/>
        <v>0</v>
      </c>
      <c r="CQ6" s="81">
        <f t="shared" si="62"/>
        <v>0</v>
      </c>
      <c r="CR6" s="81">
        <f t="shared" si="63"/>
        <v>0</v>
      </c>
      <c r="CS6" s="81">
        <f t="shared" si="64"/>
        <v>0</v>
      </c>
      <c r="CT6" s="81">
        <f>IF((CF6="mol. % oxide O2"),AI6/44.01*100/(H6/60.084+I6/79.866+J6/101.961+K6/151.99+M6/71.844+2*L6/159.69+O6/70.937+P6/40.304+Q6/74.693+R6/81.38+S6/56.077+T6/61.979+U6/94.196+AH6/18.015+1/2*L6/159.69+AI6/44.01+W6/80.06/2+X6/20/2+Y6/2/35.453),
IF((CF6="mol. % oxide O"),AI6/44.01*100/(H6/60.084+I6/79.866+J6/101.961+K6/151.99+M6/71.844+2*L6/159.69+O6/70.937+P6/40.304+Q6/74.693+R6/81.38+S6/56.077+T6/61.979+U6/94.196+AH6/18.015+L6/159.69+AI6/44.01+W6/80.06/2+X6/20/2+Y6/2/35.453),
IF((CF6="mol. % oxide Fe2O3"),AI6/44.01*100/(H6/60.084+I6/79.866+J6/101.961+K6/151.99+M6/71.844+L6/159.69+O6/70.937+P6/40.304+Q6/74.693+R6/81.38+S6/56.077+T6/61.979+U6/94.196+AH6/18.015+AI6/44.01+W6/80.06/2+X6/20/2+Y6/2/35.453),
IF((CF6="mineral oxide O2"),BW6,
IF((CF6=""),"",
)))))</f>
        <v>0</v>
      </c>
      <c r="CU6" s="81">
        <f>IF((CF6="mol. % oxide O2"),W6/80.06/2*100/(H6/60.084+I6/79.866+J6/101.961+K6/151.99+M6/71.844+2*L6/159.69+O6/70.937+P6/40.304+Q6/74.693+R6/81.38+S6/56.077+T6/61.979+U6/94.196+AH6/18.015+1/2*L6/159.69+AI6/44.01+W6/80.06/2+X6/20/2+Y6/2/35.453),
IF((CF6="mol. % oxide O"),W6/80.06/2*100/(H6/60.084+I6/79.866+J6/101.961+K6/151.99+M6/71.844+2*L6/159.69+O6/70.937+P6/40.304+Q6/74.693+R6/81.38+S6/56.077+T6/61.979+U6/94.196+AH6/18.015+L6/159.69+AI6/44.01+W6/80.06/2+X6/20/2+Y6/2/35.453),
IF((CF6="mol. % oxide Fe2O3"),W6/80.06/2*100/(H6/60.084+I6/79.866+J6/101.961+K6/151.99+M6/71.844+L6/159.69+O6/70.937+P6/40.304+Q6/74.693+R6/81.38+S6/56.077+T6/61.979+U6/94.196+AH6/18.015+AI6/44.01+W6/80.06/2+X6/20/2+Y6/2/35.453),
IF((CF6="mineral oxide O2"),BW6,
IF((CF6=""),"",
)))))</f>
        <v>0</v>
      </c>
      <c r="CV6" s="81">
        <f>IF((CF6="mol. % oxide O2"),X6/2/20*100/(H6/60.084+I6/79.866+J6/101.961+K6/151.99+M6/71.844+2*L6/159.69+O6/70.937+P6/40.304+Q6/74.693+R6/81.38+S6/56.077+T6/61.979+U6/94.196+AH6/18.015+1/2*L6/159.69+AI6/44.01+W6/80.06/2+X6/20/2+Y6/2/35.453),
IF((CF6="mol. % oxide O"),X6/2/20*100/(H6/60.084+I6/79.866+J6/101.961+K6/151.99+M6/71.844+2*L6/159.69+O6/70.937+P6/40.304+Q6/74.693+R6/81.38+S6/56.077+T6/61.979+U6/94.196+AH6/18.015+L6/159.69+AI6/44.01+W6/80.06/2+X6/20/2+Y6/2/35.453),
IF((CF6="mol. % oxide Fe2O3"),X6/2/20*100/(H6/60.084+I6/79.866+J6/101.961+K6/151.99+M6/71.844+L6/159.69+O6/70.937+P6/40.304+Q6/74.693+R6/81.38+S6/56.077+T6/61.979+U6/94.196+AH6/18.015+AI6/44.01+W6/80.06/2+X6/20/2+Y6/2/35.453),
IF((CF6="mineral oxide O2"),BY6,
IF((CF6=""),"",
)))))</f>
        <v>0</v>
      </c>
      <c r="CW6" s="81">
        <f>IF((CF6="mol. % oxide O2"),Y6/2/35.453*100/(H6/60.084+I6/79.866+J6/101.961+K6/151.99+M6/71.844+2*L6/159.69+O6/70.937+P6/40.304+Q6/74.693+R6/81.38+S6/56.077+T6/61.979+U6/94.196+AH6/18.015+1/2*L6/159.69+AI6/44.01+W6/80.06/2+X6/20/2+Y6/2/35.453),
IF((CF6="mol. % oxide O"),Y6/2/35.453*100/(H6/60.084+I6/79.866+J6/101.961+K6/151.99+M6/71.844+2*L6/159.69+O6/70.937+P6/40.304+Q6/74.693+R6/81.38+S6/56.077+T6/61.979+U6/94.196+AH6/18.015+L6/159.69+AI6/44.01+W6/80.06/2+X6/20/2+Y6/2/35.453),
IF((CF6="mol. % oxide Fe2O3"),Y6/2/35.453*100/(H6/60.084+I6/79.866+J6/101.961+K6/151.99+M6/71.844+L6/159.69+O6/70.937+P6/40.304+Q6/74.693+R6/81.38+S6/56.077+T6/61.979+U6/94.196+AH6/18.015+AI6/44.01+W6/80.06/2+X6/20/2+Y6/2/35.453),
IF((CF6="mineral oxide O2"),BZ6,
IF((CF6=""),"",
)))))</f>
        <v>0</v>
      </c>
      <c r="CX6" s="81">
        <f t="shared" si="65"/>
        <v>0</v>
      </c>
      <c r="CY6" s="81">
        <f t="shared" si="66"/>
        <v>0</v>
      </c>
      <c r="CZ6" s="81"/>
      <c r="DA6" s="67" t="s">
        <v>280</v>
      </c>
      <c r="DB6" s="60">
        <f t="shared" si="37"/>
        <v>66.667115311021092</v>
      </c>
      <c r="DC6" s="60">
        <f t="shared" si="38"/>
        <v>0</v>
      </c>
      <c r="DD6" s="67">
        <f t="shared" si="39"/>
        <v>0</v>
      </c>
      <c r="DE6" s="67">
        <f t="shared" si="40"/>
        <v>0</v>
      </c>
      <c r="DF6" s="94">
        <f t="shared" si="51"/>
        <v>16.665650161250056</v>
      </c>
      <c r="DG6" s="94">
        <f t="shared" si="41"/>
        <v>0</v>
      </c>
      <c r="DH6" s="95">
        <f t="shared" si="42"/>
        <v>16.667234527728841</v>
      </c>
      <c r="DI6" s="94">
        <f t="shared" si="43"/>
        <v>0</v>
      </c>
      <c r="DJ6" s="94">
        <f t="shared" si="44"/>
        <v>0</v>
      </c>
      <c r="DK6" s="94">
        <f t="shared" si="45"/>
        <v>0</v>
      </c>
      <c r="DL6" s="94">
        <f t="shared" si="46"/>
        <v>0</v>
      </c>
      <c r="DM6" s="94">
        <f t="shared" si="47"/>
        <v>0</v>
      </c>
      <c r="DN6" s="94">
        <f t="shared" si="48"/>
        <v>0</v>
      </c>
      <c r="DO6" s="94">
        <f t="shared" si="49"/>
        <v>0</v>
      </c>
      <c r="DP6" s="94">
        <f t="shared" si="50"/>
        <v>99.999999999999986</v>
      </c>
    </row>
    <row r="7" spans="1:120" s="28" customFormat="1" ht="16" customHeight="1">
      <c r="A7" s="4">
        <v>5</v>
      </c>
      <c r="B7" s="4"/>
      <c r="C7" s="5" t="s">
        <v>286</v>
      </c>
      <c r="D7" s="5" t="s">
        <v>282</v>
      </c>
      <c r="E7" s="4"/>
      <c r="F7" s="4"/>
      <c r="G7" s="4"/>
      <c r="H7" s="4">
        <v>55.49</v>
      </c>
      <c r="I7" s="4"/>
      <c r="J7" s="4"/>
      <c r="K7" s="4"/>
      <c r="L7" s="58"/>
      <c r="M7" s="59"/>
      <c r="N7" s="60"/>
      <c r="O7" s="4"/>
      <c r="P7" s="4">
        <v>18.61</v>
      </c>
      <c r="Q7" s="39"/>
      <c r="R7" s="39"/>
      <c r="S7" s="4">
        <v>25.9</v>
      </c>
      <c r="T7" s="4"/>
      <c r="U7" s="4"/>
      <c r="V7" s="39"/>
      <c r="W7" s="60"/>
      <c r="X7" s="39"/>
      <c r="Y7" s="39"/>
      <c r="Z7" s="70"/>
      <c r="AA7" s="70"/>
      <c r="AB7" s="24">
        <f t="shared" si="0"/>
        <v>0</v>
      </c>
      <c r="AC7" s="24">
        <f t="shared" si="1"/>
        <v>0</v>
      </c>
      <c r="AD7" s="24">
        <f t="shared" si="2"/>
        <v>100</v>
      </c>
      <c r="AE7" s="24"/>
      <c r="AF7" s="71">
        <f t="shared" si="67"/>
        <v>0</v>
      </c>
      <c r="AG7" s="97">
        <v>2.08</v>
      </c>
      <c r="AH7" s="97">
        <f>AO7-AI7</f>
        <v>0</v>
      </c>
      <c r="AI7" s="79"/>
      <c r="AJ7" s="60"/>
      <c r="AK7" s="60"/>
      <c r="AL7" s="60"/>
      <c r="AM7" s="60"/>
      <c r="AN7" s="60"/>
      <c r="AO7" s="60">
        <f t="shared" si="3"/>
        <v>0</v>
      </c>
      <c r="AP7" s="124">
        <f t="shared" si="4"/>
        <v>102.08</v>
      </c>
      <c r="AQ7" s="126"/>
      <c r="AR7" s="126"/>
      <c r="AS7" s="140">
        <f t="shared" si="5"/>
        <v>0</v>
      </c>
      <c r="AT7" s="140">
        <f t="shared" si="6"/>
        <v>0</v>
      </c>
      <c r="AU7" s="140">
        <f t="shared" si="7"/>
        <v>0</v>
      </c>
      <c r="AV7" s="140">
        <f t="shared" si="8"/>
        <v>0</v>
      </c>
      <c r="AW7" s="140">
        <f t="shared" si="9"/>
        <v>0</v>
      </c>
      <c r="AX7" s="140">
        <f t="shared" si="10"/>
        <v>0</v>
      </c>
      <c r="AY7" s="140">
        <f t="shared" si="11"/>
        <v>0</v>
      </c>
      <c r="AZ7" s="126"/>
      <c r="BA7" s="68" t="s">
        <v>146</v>
      </c>
      <c r="BB7" s="124"/>
      <c r="BC7" s="96" t="s">
        <v>96</v>
      </c>
      <c r="BD7" s="124"/>
      <c r="BE7" s="50">
        <f t="shared" si="12"/>
        <v>100</v>
      </c>
      <c r="BF7" s="50">
        <f t="shared" si="13"/>
        <v>66.666966992508037</v>
      </c>
      <c r="BG7" s="51"/>
      <c r="BH7" s="12"/>
      <c r="BI7" s="76">
        <f t="shared" si="14"/>
        <v>33.333033007491977</v>
      </c>
      <c r="BJ7" s="76">
        <f t="shared" si="15"/>
        <v>0</v>
      </c>
      <c r="BK7" s="76">
        <f t="shared" si="16"/>
        <v>0</v>
      </c>
      <c r="BL7" s="76">
        <f t="shared" si="17"/>
        <v>0</v>
      </c>
      <c r="BM7" s="76">
        <f t="shared" si="18"/>
        <v>0</v>
      </c>
      <c r="BN7" s="77">
        <f t="shared" si="19"/>
        <v>0</v>
      </c>
      <c r="BO7" s="76">
        <f t="shared" si="20"/>
        <v>0</v>
      </c>
      <c r="BP7" s="76">
        <f t="shared" si="21"/>
        <v>16.665999272757926</v>
      </c>
      <c r="BQ7" s="76">
        <f t="shared" si="22"/>
        <v>0</v>
      </c>
      <c r="BR7" s="76">
        <f t="shared" si="23"/>
        <v>0</v>
      </c>
      <c r="BS7" s="76">
        <f t="shared" si="24"/>
        <v>16.667934712258127</v>
      </c>
      <c r="BT7" s="76">
        <f t="shared" si="25"/>
        <v>0</v>
      </c>
      <c r="BU7" s="76">
        <f t="shared" si="26"/>
        <v>0</v>
      </c>
      <c r="BV7" s="76">
        <f t="shared" si="27"/>
        <v>0</v>
      </c>
      <c r="BW7" s="76">
        <f t="shared" si="28"/>
        <v>0</v>
      </c>
      <c r="BX7" s="76">
        <f t="shared" si="29"/>
        <v>0</v>
      </c>
      <c r="BY7" s="78">
        <f t="shared" si="30"/>
        <v>0</v>
      </c>
      <c r="BZ7" s="76">
        <f t="shared" si="31"/>
        <v>0</v>
      </c>
      <c r="CA7" s="76">
        <f t="shared" si="32"/>
        <v>0</v>
      </c>
      <c r="CB7" s="76">
        <f t="shared" si="33"/>
        <v>50.000000000000007</v>
      </c>
      <c r="CC7" s="12">
        <f t="shared" si="34"/>
        <v>66.666966992508037</v>
      </c>
      <c r="CD7" s="12">
        <f t="shared" si="35"/>
        <v>100.00000000000001</v>
      </c>
      <c r="CE7" s="12"/>
      <c r="CF7" s="67" t="str">
        <f t="shared" si="36"/>
        <v>mol % oxide O2</v>
      </c>
      <c r="CG7" s="81">
        <f t="shared" si="52"/>
        <v>49.998231621876428</v>
      </c>
      <c r="CH7" s="81">
        <f t="shared" si="53"/>
        <v>0</v>
      </c>
      <c r="CI7" s="81">
        <f t="shared" si="54"/>
        <v>0</v>
      </c>
      <c r="CJ7" s="81">
        <f t="shared" si="55"/>
        <v>0</v>
      </c>
      <c r="CK7" s="81">
        <f t="shared" si="56"/>
        <v>0</v>
      </c>
      <c r="CL7" s="81">
        <f t="shared" si="57"/>
        <v>0</v>
      </c>
      <c r="CM7" s="81">
        <f t="shared" si="58"/>
        <v>24.997523178049295</v>
      </c>
      <c r="CN7" s="81">
        <f t="shared" si="59"/>
        <v>0</v>
      </c>
      <c r="CO7" s="81">
        <f t="shared" si="60"/>
        <v>0</v>
      </c>
      <c r="CP7" s="81">
        <f t="shared" si="61"/>
        <v>25.00424520007428</v>
      </c>
      <c r="CQ7" s="81">
        <f t="shared" si="62"/>
        <v>0</v>
      </c>
      <c r="CR7" s="81">
        <f t="shared" si="63"/>
        <v>0</v>
      </c>
      <c r="CS7" s="81">
        <f t="shared" si="64"/>
        <v>0</v>
      </c>
      <c r="CT7" s="81">
        <f t="shared" ref="CT7:CT15" si="68">IF((CF7="mol % oxide O2"),AI7/44.01*100/(H7/60.084+I7/79.866+J7/101.961+K7/151.99+M7/71.844+2*L7/159.69+O7/70.937+P7/40.304+Q7/74.693+R7/81.38+S7/56.077+T7/61.979+U7/94.196+AH7/18.015+1/2*L7/159.69+AI7/44.01+W7/80.06/2+X7/20/2+Y7/2/35.453),
IF((CF7="mol % oxide O"),AI7/44.01*100/(H7/60.084+I7/79.866+J7/101.961+K7/151.99+M7/71.844+2*L7/159.69+O7/70.937+P7/40.304+Q7/74.693+R7/81.38+S7/56.077+T7/61.979+U7/94.196+AH7/18.015+L7/159.69+AI7/44.01+W7/80.06/2+X7/20/2+Y7/2/35.453),
IF((CF7="mol % oxide Fe2O3"),AI7/44.01*100/(H7/60.084+I7/79.866+J7/101.961+K7/151.99+M7/71.844+L7/159.69+O7/70.937+P7/40.304+Q7/74.693+R7/81.38+S7/56.077+T7/61.979+U7/94.196+AH7/18.015+AI7/44.01+W7/80.06/2+X7/20/2+Y7/2/35.453),
IF((CF7="mineral oxide O2"),BW7,
IF((CF7=""),"",
)))))</f>
        <v>0</v>
      </c>
      <c r="CU7" s="81">
        <f t="shared" ref="CU7:CU15" si="69">IF((CF7="mol % oxide O2"),W7/80.06/2*100/(H7/60.084+I7/79.866+J7/101.961+K7/151.99+M7/71.844+2*L7/159.69+O7/70.937+P7/40.304+Q7/74.693+R7/81.38+S7/56.077+T7/61.979+U7/94.196+AH7/18.015+1/2*L7/159.69+AI7/44.01+W7/80.06/2+X7/20/2+Y7/2/35.453),
IF((CF7="mol % oxide O"),W7/80.06/2*100/(H7/60.084+I7/79.866+J7/101.961+K7/151.99+M7/71.844+2*L7/159.69+O7/70.937+P7/40.304+Q7/74.693+R7/81.38+S7/56.077+T7/61.979+U7/94.196+AH7/18.015+L7/159.69+AI7/44.01+W7/80.06/2+X7/20/2+Y7/2/35.453),
IF((CF7="mol % oxide Fe2O3"),W7/80.06/2*100/(H7/60.084+I7/79.866+J7/101.961+K7/151.99+M7/71.844+L7/159.69+O7/70.937+P7/40.304+Q7/74.693+R7/81.38+S7/56.077+T7/61.979+U7/94.196+AH7/18.015+AI7/44.01+W7/80.06/2+X7/20/2+Y7/2/35.453),
IF((CF7="mineral oxide O2"),BW7,
IF((CF7=""),"",
)))))</f>
        <v>0</v>
      </c>
      <c r="CV7" s="81">
        <f t="shared" ref="CV7:CV15" si="70">IF((CF7="mol % oxide O2"),X7/2/20*100/(H7/60.084+I7/79.866+J7/101.961+K7/151.99+M7/71.844+2*L7/159.69+O7/70.937+P7/40.304+Q7/74.693+R7/81.38+S7/56.077+T7/61.979+U7/94.196+AH7/18.015+1/2*L7/159.69+AI7/44.01+W7/80.06/2+X7/20/2+Y7/2/35.453),
IF((CF7="mol % oxide O"),X7/2/20*100/(H7/60.084+I7/79.866+J7/101.961+K7/151.99+M7/71.844+2*L7/159.69+O7/70.937+P7/40.304+Q7/74.693+R7/81.38+S7/56.077+T7/61.979+U7/94.196+AH7/18.015+L7/159.69+AI7/44.01+W7/80.06/2+X7/20/2+Y7/2/35.453),
IF((CF7="mol % oxide Fe2O3"),X7/2/20*100/(H7/60.084+I7/79.866+J7/101.961+K7/151.99+M7/71.844+L7/159.69+O7/70.937+P7/40.304+Q7/74.693+R7/81.38+S7/56.077+T7/61.979+U7/94.196+AH7/18.015+AI7/44.01+W7/80.06/2+X7/20/2+Y7/2/35.453),
IF((CF7="mineral oxide O2"),BY7,
IF((CF7=""),"",
)))))</f>
        <v>0</v>
      </c>
      <c r="CW7" s="81">
        <f t="shared" ref="CW7:CW15" si="71">IF((CF7="mol % oxide O2"),Y7/2/35.453*100/(H7/60.084+I7/79.866+J7/101.961+K7/151.99+M7/71.844+2*L7/159.69+O7/70.937+P7/40.304+Q7/74.693+R7/81.38+S7/56.077+T7/61.979+U7/94.196+AH7/18.015+1/2*L7/159.69+AI7/44.01+W7/80.06/2+X7/20/2+Y7/2/35.453),
IF((CF7="mol % oxide O"),Y7/2/35.453*100/(H7/60.084+I7/79.866+J7/101.961+K7/151.99+M7/71.844+2*L7/159.69+O7/70.937+P7/40.304+Q7/74.693+R7/81.38+S7/56.077+T7/61.979+U7/94.196+AH7/18.015+L7/159.69+AI7/44.01+W7/80.06/2+X7/20/2+Y7/2/35.453),
IF((CF7="mol % oxide Fe2O3"),Y7/2/35.453*100/(H7/60.084+I7/79.866+J7/101.961+K7/151.99+M7/71.844+L7/159.69+O7/70.937+P7/40.304+Q7/74.693+R7/81.38+S7/56.077+T7/61.979+U7/94.196+AH7/18.015+AI7/44.01+W7/80.06/2+X7/20/2+Y7/2/35.453),
IF((CF7="mineral oxide O2"),BZ7,
IF((CF7=""),"",
)))))</f>
        <v>0</v>
      </c>
      <c r="CX7" s="81">
        <f t="shared" si="65"/>
        <v>0</v>
      </c>
      <c r="CY7" s="81">
        <f t="shared" si="66"/>
        <v>0</v>
      </c>
      <c r="CZ7" s="81"/>
      <c r="DA7" s="67" t="s">
        <v>280</v>
      </c>
      <c r="DB7" s="60">
        <f t="shared" si="37"/>
        <v>66.666066014983954</v>
      </c>
      <c r="DC7" s="60">
        <f t="shared" si="38"/>
        <v>0</v>
      </c>
      <c r="DD7" s="67">
        <f t="shared" si="39"/>
        <v>0</v>
      </c>
      <c r="DE7" s="67">
        <f t="shared" si="40"/>
        <v>0</v>
      </c>
      <c r="DF7" s="94">
        <f t="shared" si="51"/>
        <v>0</v>
      </c>
      <c r="DG7" s="94">
        <f t="shared" si="41"/>
        <v>0</v>
      </c>
      <c r="DH7" s="95">
        <f t="shared" si="42"/>
        <v>16.665999272757926</v>
      </c>
      <c r="DI7" s="94">
        <f t="shared" si="43"/>
        <v>0</v>
      </c>
      <c r="DJ7" s="94">
        <f t="shared" si="44"/>
        <v>0</v>
      </c>
      <c r="DK7" s="94">
        <f t="shared" si="45"/>
        <v>16.667934712258127</v>
      </c>
      <c r="DL7" s="94">
        <f t="shared" si="46"/>
        <v>0</v>
      </c>
      <c r="DM7" s="94">
        <f t="shared" si="47"/>
        <v>0</v>
      </c>
      <c r="DN7" s="94">
        <f t="shared" si="48"/>
        <v>0</v>
      </c>
      <c r="DO7" s="94">
        <f t="shared" si="49"/>
        <v>0</v>
      </c>
      <c r="DP7" s="94">
        <f t="shared" si="50"/>
        <v>100.00000000000001</v>
      </c>
    </row>
    <row r="8" spans="1:120" s="28" customFormat="1" ht="16" customHeight="1">
      <c r="A8" s="4">
        <v>6</v>
      </c>
      <c r="B8" s="4"/>
      <c r="C8" s="5" t="s">
        <v>287</v>
      </c>
      <c r="D8" s="5" t="s">
        <v>282</v>
      </c>
      <c r="E8" s="4"/>
      <c r="F8" s="4"/>
      <c r="G8" s="4"/>
      <c r="H8" s="4">
        <v>41.56</v>
      </c>
      <c r="I8" s="4"/>
      <c r="J8" s="4">
        <v>17.63</v>
      </c>
      <c r="K8" s="4"/>
      <c r="L8" s="58"/>
      <c r="M8" s="59">
        <v>8.2799999999999994</v>
      </c>
      <c r="N8" s="60">
        <f>L8*1/((159.69/71.844)/2)+M8</f>
        <v>8.2799999999999994</v>
      </c>
      <c r="O8" s="4"/>
      <c r="P8" s="4">
        <v>13.94</v>
      </c>
      <c r="Q8" s="39"/>
      <c r="R8" s="39"/>
      <c r="S8" s="4">
        <v>12.93</v>
      </c>
      <c r="T8" s="4">
        <v>3.57</v>
      </c>
      <c r="U8" s="4"/>
      <c r="V8" s="39"/>
      <c r="W8" s="60"/>
      <c r="X8" s="39"/>
      <c r="Y8" s="39"/>
      <c r="Z8" s="70"/>
      <c r="AA8" s="70"/>
      <c r="AB8" s="24">
        <f t="shared" si="0"/>
        <v>0</v>
      </c>
      <c r="AC8" s="24">
        <f t="shared" si="1"/>
        <v>0</v>
      </c>
      <c r="AD8" s="24">
        <f t="shared" si="2"/>
        <v>97.91</v>
      </c>
      <c r="AE8" s="24"/>
      <c r="AF8" s="71">
        <f t="shared" si="67"/>
        <v>0</v>
      </c>
      <c r="AG8" s="97">
        <v>2.13</v>
      </c>
      <c r="AH8" s="97">
        <f>AO8-AI8</f>
        <v>-0.9190799999999999</v>
      </c>
      <c r="AI8" s="79"/>
      <c r="AJ8" s="60"/>
      <c r="AK8" s="60"/>
      <c r="AL8" s="60"/>
      <c r="AM8" s="60"/>
      <c r="AN8" s="60"/>
      <c r="AO8" s="60">
        <f t="shared" si="3"/>
        <v>-0.9190799999999999</v>
      </c>
      <c r="AP8" s="124">
        <f t="shared" si="4"/>
        <v>100.03999999999999</v>
      </c>
      <c r="AQ8" s="126"/>
      <c r="AR8" s="126"/>
      <c r="AS8" s="140">
        <f t="shared" si="5"/>
        <v>0</v>
      </c>
      <c r="AT8" s="140">
        <f t="shared" si="6"/>
        <v>0</v>
      </c>
      <c r="AU8" s="140">
        <f t="shared" si="7"/>
        <v>6.4335465079042713</v>
      </c>
      <c r="AV8" s="140">
        <f t="shared" si="8"/>
        <v>0</v>
      </c>
      <c r="AW8" s="140">
        <f t="shared" si="9"/>
        <v>0</v>
      </c>
      <c r="AX8" s="140">
        <f t="shared" si="10"/>
        <v>0</v>
      </c>
      <c r="AY8" s="140">
        <f t="shared" si="11"/>
        <v>0</v>
      </c>
      <c r="AZ8" s="126"/>
      <c r="BA8" s="68" t="s">
        <v>146</v>
      </c>
      <c r="BB8" s="124"/>
      <c r="BC8" s="96" t="s">
        <v>96</v>
      </c>
      <c r="BD8" s="124"/>
      <c r="BE8" s="50">
        <f t="shared" si="12"/>
        <v>100</v>
      </c>
      <c r="BF8" s="50">
        <f t="shared" si="13"/>
        <v>67.003716312176294</v>
      </c>
      <c r="BG8" s="51"/>
      <c r="BH8" s="12"/>
      <c r="BI8" s="76">
        <f t="shared" si="14"/>
        <v>26.600299827297018</v>
      </c>
      <c r="BJ8" s="76">
        <f t="shared" si="15"/>
        <v>0</v>
      </c>
      <c r="BK8" s="76">
        <f t="shared" si="16"/>
        <v>13.298216468380097</v>
      </c>
      <c r="BL8" s="76">
        <f t="shared" si="17"/>
        <v>0</v>
      </c>
      <c r="BM8" s="76">
        <f t="shared" si="18"/>
        <v>4.4314359977598636</v>
      </c>
      <c r="BN8" s="77">
        <f t="shared" si="19"/>
        <v>0</v>
      </c>
      <c r="BO8" s="76">
        <f t="shared" si="20"/>
        <v>0</v>
      </c>
      <c r="BP8" s="76">
        <f t="shared" si="21"/>
        <v>13.301439534290838</v>
      </c>
      <c r="BQ8" s="76">
        <f t="shared" si="22"/>
        <v>0</v>
      </c>
      <c r="BR8" s="76">
        <f t="shared" si="23"/>
        <v>0</v>
      </c>
      <c r="BS8" s="76">
        <f t="shared" si="24"/>
        <v>8.8660757371217169</v>
      </c>
      <c r="BT8" s="76">
        <f t="shared" si="25"/>
        <v>4.4298350679095284</v>
      </c>
      <c r="BU8" s="76">
        <f t="shared" si="26"/>
        <v>0</v>
      </c>
      <c r="BV8" s="76">
        <f t="shared" si="27"/>
        <v>0</v>
      </c>
      <c r="BW8" s="76">
        <f t="shared" si="28"/>
        <v>0</v>
      </c>
      <c r="BX8" s="76">
        <f t="shared" si="29"/>
        <v>0</v>
      </c>
      <c r="BY8" s="78">
        <f t="shared" si="30"/>
        <v>0</v>
      </c>
      <c r="BZ8" s="76">
        <f t="shared" si="31"/>
        <v>0</v>
      </c>
      <c r="CA8" s="76">
        <f t="shared" si="32"/>
        <v>-1.9617931602913816</v>
      </c>
      <c r="CB8" s="76">
        <f t="shared" si="33"/>
        <v>49.999999999999993</v>
      </c>
      <c r="CC8" s="12">
        <f t="shared" si="34"/>
        <v>67.003716312176294</v>
      </c>
      <c r="CD8" s="12">
        <f t="shared" si="35"/>
        <v>99.999999999999986</v>
      </c>
      <c r="CE8" s="12"/>
      <c r="CF8" s="67" t="str">
        <f t="shared" si="36"/>
        <v>mol % oxide O2</v>
      </c>
      <c r="CG8" s="81">
        <f t="shared" si="52"/>
        <v>44.257725665658519</v>
      </c>
      <c r="CH8" s="81">
        <f t="shared" si="53"/>
        <v>0</v>
      </c>
      <c r="CI8" s="81">
        <f t="shared" si="54"/>
        <v>11.063451009681467</v>
      </c>
      <c r="CJ8" s="81">
        <f t="shared" si="55"/>
        <v>0</v>
      </c>
      <c r="CK8" s="81">
        <f t="shared" si="56"/>
        <v>7.3741543489312038</v>
      </c>
      <c r="CL8" s="81">
        <f t="shared" si="57"/>
        <v>0</v>
      </c>
      <c r="CM8" s="81">
        <f t="shared" si="58"/>
        <v>22.130285392376361</v>
      </c>
      <c r="CN8" s="81">
        <f t="shared" si="59"/>
        <v>0</v>
      </c>
      <c r="CO8" s="81">
        <f t="shared" si="60"/>
        <v>0</v>
      </c>
      <c r="CP8" s="81">
        <f t="shared" si="61"/>
        <v>14.753197086551822</v>
      </c>
      <c r="CQ8" s="81">
        <f t="shared" si="62"/>
        <v>3.6854968326292021</v>
      </c>
      <c r="CR8" s="81">
        <f t="shared" si="63"/>
        <v>0</v>
      </c>
      <c r="CS8" s="81">
        <f t="shared" si="64"/>
        <v>0</v>
      </c>
      <c r="CT8" s="81">
        <f t="shared" si="68"/>
        <v>0</v>
      </c>
      <c r="CU8" s="81">
        <f t="shared" si="69"/>
        <v>0</v>
      </c>
      <c r="CV8" s="81">
        <f t="shared" si="70"/>
        <v>0</v>
      </c>
      <c r="CW8" s="81">
        <f t="shared" si="71"/>
        <v>0</v>
      </c>
      <c r="CX8" s="81">
        <f t="shared" si="65"/>
        <v>-3.2643103358285916</v>
      </c>
      <c r="CY8" s="81">
        <f t="shared" si="66"/>
        <v>0</v>
      </c>
      <c r="CZ8" s="81"/>
      <c r="DA8" s="67" t="s">
        <v>280</v>
      </c>
      <c r="DB8" s="60">
        <f t="shared" si="37"/>
        <v>53.200599654594036</v>
      </c>
      <c r="DC8" s="60">
        <f t="shared" si="38"/>
        <v>0</v>
      </c>
      <c r="DD8" s="67">
        <f t="shared" si="39"/>
        <v>19.947324702570146</v>
      </c>
      <c r="DE8" s="67">
        <f t="shared" si="40"/>
        <v>0</v>
      </c>
      <c r="DF8" s="94">
        <f t="shared" si="51"/>
        <v>4.4314359977598636</v>
      </c>
      <c r="DG8" s="94">
        <f t="shared" si="41"/>
        <v>0</v>
      </c>
      <c r="DH8" s="95">
        <f t="shared" si="42"/>
        <v>13.301439534290838</v>
      </c>
      <c r="DI8" s="94">
        <f t="shared" si="43"/>
        <v>0</v>
      </c>
      <c r="DJ8" s="94">
        <f t="shared" si="44"/>
        <v>0</v>
      </c>
      <c r="DK8" s="94">
        <f t="shared" si="45"/>
        <v>8.8660757371217169</v>
      </c>
      <c r="DL8" s="94">
        <f t="shared" si="46"/>
        <v>4.4298350679095284</v>
      </c>
      <c r="DM8" s="94">
        <f t="shared" si="47"/>
        <v>0</v>
      </c>
      <c r="DN8" s="94">
        <f t="shared" si="48"/>
        <v>0</v>
      </c>
      <c r="DO8" s="94">
        <f t="shared" si="49"/>
        <v>-1.9617931602913816</v>
      </c>
      <c r="DP8" s="94">
        <f t="shared" si="50"/>
        <v>99.999999999999986</v>
      </c>
    </row>
    <row r="9" spans="1:120" s="28" customFormat="1" ht="16" customHeight="1">
      <c r="A9" s="4">
        <v>7</v>
      </c>
      <c r="B9" s="4"/>
      <c r="C9" s="5" t="s">
        <v>288</v>
      </c>
      <c r="D9" s="5" t="s">
        <v>282</v>
      </c>
      <c r="E9" s="4"/>
      <c r="F9" s="4"/>
      <c r="G9" s="4"/>
      <c r="H9" s="4">
        <v>42.69</v>
      </c>
      <c r="I9" s="4"/>
      <c r="J9" s="4">
        <v>18.11</v>
      </c>
      <c r="K9" s="4"/>
      <c r="L9" s="58">
        <v>9.4600000000000009</v>
      </c>
      <c r="M9" s="59">
        <v>0</v>
      </c>
      <c r="N9" s="60">
        <f>L9*1/((159.69/71.844)/2)+M9</f>
        <v>8.5120450873567535</v>
      </c>
      <c r="O9" s="4"/>
      <c r="P9" s="4">
        <v>14.32</v>
      </c>
      <c r="Q9" s="39"/>
      <c r="R9" s="39"/>
      <c r="S9" s="4">
        <v>13.28</v>
      </c>
      <c r="T9" s="4"/>
      <c r="U9" s="4"/>
      <c r="V9" s="39"/>
      <c r="W9" s="60"/>
      <c r="X9" s="39"/>
      <c r="Y9" s="39"/>
      <c r="Z9" s="70"/>
      <c r="AA9" s="70"/>
      <c r="AB9" s="24">
        <f t="shared" si="0"/>
        <v>0</v>
      </c>
      <c r="AC9" s="24">
        <f t="shared" si="1"/>
        <v>0</v>
      </c>
      <c r="AD9" s="24">
        <f t="shared" si="2"/>
        <v>97.86</v>
      </c>
      <c r="AE9" s="24"/>
      <c r="AF9" s="71">
        <f t="shared" si="67"/>
        <v>1</v>
      </c>
      <c r="AG9" s="97">
        <v>2.2200000000000002</v>
      </c>
      <c r="AH9" s="97">
        <f>AO9-AI9</f>
        <v>0</v>
      </c>
      <c r="AI9" s="79"/>
      <c r="AJ9" s="60"/>
      <c r="AK9" s="60"/>
      <c r="AL9" s="60"/>
      <c r="AM9" s="60"/>
      <c r="AN9" s="60"/>
      <c r="AO9" s="60">
        <f t="shared" si="3"/>
        <v>0</v>
      </c>
      <c r="AP9" s="124">
        <f t="shared" ref="AP9:AP15" si="72">IF(M9&lt;&gt;"",SUM(P9,H9,J9,O9,M9,L9,Q9,R9,S9,I9,K9,AG9,AI9,T9,U9,X9,Y9,AB9,AC9,W9,V9),
IF(M9="",SUM(P9,H9,J9,O9,N9,Q9,R9,S9,I9,K9,AG9,AI9,T9,U9,X9,Y9,AB9,AC9,W9,V9),
))</f>
        <v>100.08000000000001</v>
      </c>
      <c r="AQ9" s="126"/>
      <c r="AR9" s="126"/>
      <c r="AS9" s="140">
        <f t="shared" si="5"/>
        <v>0</v>
      </c>
      <c r="AT9" s="140">
        <f t="shared" si="6"/>
        <v>0</v>
      </c>
      <c r="AU9" s="140">
        <f t="shared" si="7"/>
        <v>0</v>
      </c>
      <c r="AV9" s="140">
        <f t="shared" si="8"/>
        <v>6.6113259423459363</v>
      </c>
      <c r="AW9" s="140">
        <f t="shared" si="9"/>
        <v>0</v>
      </c>
      <c r="AX9" s="140">
        <f t="shared" si="10"/>
        <v>0</v>
      </c>
      <c r="AY9" s="140">
        <f t="shared" si="11"/>
        <v>0</v>
      </c>
      <c r="AZ9" s="126"/>
      <c r="BA9" s="68" t="s">
        <v>146</v>
      </c>
      <c r="BB9" s="124"/>
      <c r="BC9" s="96" t="s">
        <v>96</v>
      </c>
      <c r="BD9" s="124"/>
      <c r="BE9" s="50">
        <f t="shared" si="12"/>
        <v>100</v>
      </c>
      <c r="BF9" s="50">
        <f t="shared" si="13"/>
        <v>65.21756161390185</v>
      </c>
      <c r="BG9" s="51"/>
      <c r="BH9" s="12"/>
      <c r="BI9" s="76">
        <f t="shared" si="14"/>
        <v>26.08661992266212</v>
      </c>
      <c r="BJ9" s="76">
        <f t="shared" si="15"/>
        <v>0</v>
      </c>
      <c r="BK9" s="76">
        <f t="shared" si="16"/>
        <v>13.041879973741471</v>
      </c>
      <c r="BL9" s="76">
        <f t="shared" si="17"/>
        <v>0</v>
      </c>
      <c r="BM9" s="76">
        <f t="shared" si="18"/>
        <v>0</v>
      </c>
      <c r="BN9" s="77">
        <f t="shared" si="19"/>
        <v>4.3497569531305667</v>
      </c>
      <c r="BO9" s="76">
        <f t="shared" si="20"/>
        <v>0</v>
      </c>
      <c r="BP9" s="76">
        <f t="shared" si="21"/>
        <v>13.04546463094762</v>
      </c>
      <c r="BQ9" s="76">
        <f t="shared" si="22"/>
        <v>0</v>
      </c>
      <c r="BR9" s="76">
        <f t="shared" si="23"/>
        <v>0</v>
      </c>
      <c r="BS9" s="76">
        <f t="shared" si="24"/>
        <v>8.6938401334200694</v>
      </c>
      <c r="BT9" s="76">
        <f t="shared" si="25"/>
        <v>0</v>
      </c>
      <c r="BU9" s="76">
        <f t="shared" si="26"/>
        <v>0</v>
      </c>
      <c r="BV9" s="76">
        <f t="shared" si="27"/>
        <v>0</v>
      </c>
      <c r="BW9" s="76">
        <f t="shared" si="28"/>
        <v>0</v>
      </c>
      <c r="BX9" s="76">
        <f t="shared" si="29"/>
        <v>0</v>
      </c>
      <c r="BY9" s="78">
        <f t="shared" si="30"/>
        <v>0</v>
      </c>
      <c r="BZ9" s="76">
        <f t="shared" si="31"/>
        <v>0</v>
      </c>
      <c r="CA9" s="76">
        <f t="shared" si="32"/>
        <v>0</v>
      </c>
      <c r="CB9" s="76">
        <f t="shared" si="33"/>
        <v>49.999999999999993</v>
      </c>
      <c r="CC9" s="12">
        <f t="shared" si="34"/>
        <v>65.21756161390185</v>
      </c>
      <c r="CD9" s="12">
        <f t="shared" si="35"/>
        <v>99.999999999999986</v>
      </c>
      <c r="CE9" s="12"/>
      <c r="CF9" s="67" t="str">
        <f t="shared" si="36"/>
        <v>mol % oxide O2</v>
      </c>
      <c r="CG9" s="81">
        <f t="shared" si="52"/>
        <v>43.633755451664456</v>
      </c>
      <c r="CH9" s="81">
        <f t="shared" si="53"/>
        <v>0</v>
      </c>
      <c r="CI9" s="81">
        <f t="shared" si="54"/>
        <v>10.907862128858493</v>
      </c>
      <c r="CJ9" s="81">
        <f t="shared" si="55"/>
        <v>0</v>
      </c>
      <c r="CK9" s="81">
        <f t="shared" si="56"/>
        <v>7.2761004669658433</v>
      </c>
      <c r="CL9" s="81">
        <f t="shared" si="57"/>
        <v>0</v>
      </c>
      <c r="CM9" s="81">
        <f t="shared" si="58"/>
        <v>21.819768759435664</v>
      </c>
      <c r="CN9" s="81">
        <f t="shared" si="59"/>
        <v>0</v>
      </c>
      <c r="CO9" s="81">
        <f t="shared" si="60"/>
        <v>0</v>
      </c>
      <c r="CP9" s="81">
        <f t="shared" si="61"/>
        <v>14.543488076334086</v>
      </c>
      <c r="CQ9" s="81">
        <f t="shared" si="62"/>
        <v>0</v>
      </c>
      <c r="CR9" s="81">
        <f t="shared" si="63"/>
        <v>0</v>
      </c>
      <c r="CS9" s="81">
        <f t="shared" si="64"/>
        <v>0</v>
      </c>
      <c r="CT9" s="81">
        <f t="shared" si="68"/>
        <v>0</v>
      </c>
      <c r="CU9" s="81">
        <f t="shared" si="69"/>
        <v>0</v>
      </c>
      <c r="CV9" s="81">
        <f t="shared" si="70"/>
        <v>0</v>
      </c>
      <c r="CW9" s="81">
        <f t="shared" si="71"/>
        <v>0</v>
      </c>
      <c r="CX9" s="81">
        <f t="shared" si="65"/>
        <v>0</v>
      </c>
      <c r="CY9" s="81">
        <f t="shared" si="66"/>
        <v>1.8190251167414608</v>
      </c>
      <c r="CZ9" s="81"/>
      <c r="DA9" s="67" t="s">
        <v>280</v>
      </c>
      <c r="DB9" s="60">
        <f t="shared" si="37"/>
        <v>52.17323984532424</v>
      </c>
      <c r="DC9" s="60">
        <f t="shared" si="38"/>
        <v>0</v>
      </c>
      <c r="DD9" s="67">
        <f t="shared" si="39"/>
        <v>19.562819960612206</v>
      </c>
      <c r="DE9" s="67">
        <f t="shared" si="40"/>
        <v>0</v>
      </c>
      <c r="DF9" s="94">
        <f t="shared" si="51"/>
        <v>4.3497569531305667</v>
      </c>
      <c r="DG9" s="94">
        <f t="shared" si="41"/>
        <v>0</v>
      </c>
      <c r="DH9" s="95">
        <f t="shared" si="42"/>
        <v>13.04546463094762</v>
      </c>
      <c r="DI9" s="94">
        <f t="shared" si="43"/>
        <v>0</v>
      </c>
      <c r="DJ9" s="94">
        <f t="shared" si="44"/>
        <v>0</v>
      </c>
      <c r="DK9" s="94">
        <f t="shared" si="45"/>
        <v>8.6938401334200694</v>
      </c>
      <c r="DL9" s="94">
        <f t="shared" si="46"/>
        <v>0</v>
      </c>
      <c r="DM9" s="94">
        <f t="shared" si="47"/>
        <v>0</v>
      </c>
      <c r="DN9" s="94">
        <f t="shared" si="48"/>
        <v>0</v>
      </c>
      <c r="DO9" s="94">
        <f t="shared" si="49"/>
        <v>0</v>
      </c>
      <c r="DP9" s="94">
        <f t="shared" si="50"/>
        <v>99.999999999999986</v>
      </c>
    </row>
    <row r="10" spans="1:120" s="28" customFormat="1" ht="16" customHeight="1">
      <c r="A10" s="4">
        <v>8</v>
      </c>
      <c r="B10" s="4"/>
      <c r="C10" s="5" t="s">
        <v>289</v>
      </c>
      <c r="D10" s="5" t="s">
        <v>282</v>
      </c>
      <c r="E10" s="4"/>
      <c r="F10" s="4"/>
      <c r="G10" s="4"/>
      <c r="H10" s="4">
        <v>59.17</v>
      </c>
      <c r="I10" s="4"/>
      <c r="J10" s="4"/>
      <c r="K10" s="4"/>
      <c r="L10" s="58"/>
      <c r="M10" s="59"/>
      <c r="N10" s="60"/>
      <c r="O10" s="4"/>
      <c r="P10" s="4">
        <v>24.81</v>
      </c>
      <c r="Q10" s="39"/>
      <c r="R10" s="39"/>
      <c r="S10" s="4">
        <v>13.81</v>
      </c>
      <c r="T10" s="4"/>
      <c r="U10" s="4"/>
      <c r="V10" s="39"/>
      <c r="W10" s="60"/>
      <c r="X10" s="39"/>
      <c r="Y10" s="39"/>
      <c r="Z10" s="70"/>
      <c r="AA10" s="70"/>
      <c r="AB10" s="24">
        <f t="shared" si="0"/>
        <v>0</v>
      </c>
      <c r="AC10" s="24">
        <f t="shared" si="1"/>
        <v>0</v>
      </c>
      <c r="AD10" s="24">
        <f t="shared" si="2"/>
        <v>97.79</v>
      </c>
      <c r="AE10" s="24"/>
      <c r="AF10" s="71">
        <f t="shared" si="67"/>
        <v>0</v>
      </c>
      <c r="AG10" s="97"/>
      <c r="AH10" s="97"/>
      <c r="AI10" s="79"/>
      <c r="AJ10" s="60"/>
      <c r="AK10" s="60"/>
      <c r="AL10" s="60"/>
      <c r="AM10" s="60"/>
      <c r="AN10" s="60"/>
      <c r="AO10" s="60">
        <f t="shared" si="3"/>
        <v>0</v>
      </c>
      <c r="AP10" s="124">
        <f t="shared" si="72"/>
        <v>97.79</v>
      </c>
      <c r="AQ10" s="126"/>
      <c r="AR10" s="126"/>
      <c r="AS10" s="140">
        <f t="shared" si="5"/>
        <v>0</v>
      </c>
      <c r="AT10" s="140">
        <f t="shared" si="6"/>
        <v>0</v>
      </c>
      <c r="AU10" s="140">
        <f t="shared" si="7"/>
        <v>0</v>
      </c>
      <c r="AV10" s="140">
        <f t="shared" si="8"/>
        <v>0</v>
      </c>
      <c r="AW10" s="140">
        <f t="shared" si="9"/>
        <v>0</v>
      </c>
      <c r="AX10" s="140">
        <f t="shared" si="10"/>
        <v>0</v>
      </c>
      <c r="AY10" s="140">
        <f t="shared" si="11"/>
        <v>0</v>
      </c>
      <c r="AZ10" s="126"/>
      <c r="BA10" s="68" t="s">
        <v>146</v>
      </c>
      <c r="BB10" s="124"/>
      <c r="BC10" s="96" t="s">
        <v>96</v>
      </c>
      <c r="BD10" s="124"/>
      <c r="BE10" s="50">
        <f t="shared" si="12"/>
        <v>100</v>
      </c>
      <c r="BF10" s="50">
        <f t="shared" si="13"/>
        <v>65.21912658425866</v>
      </c>
      <c r="BG10" s="51"/>
      <c r="BH10" s="12"/>
      <c r="BI10" s="76">
        <f t="shared" si="14"/>
        <v>34.78087341574134</v>
      </c>
      <c r="BJ10" s="76">
        <f t="shared" si="15"/>
        <v>0</v>
      </c>
      <c r="BK10" s="76">
        <f t="shared" si="16"/>
        <v>0</v>
      </c>
      <c r="BL10" s="76">
        <f t="shared" si="17"/>
        <v>0</v>
      </c>
      <c r="BM10" s="76">
        <f t="shared" si="18"/>
        <v>0</v>
      </c>
      <c r="BN10" s="77">
        <f t="shared" si="19"/>
        <v>0</v>
      </c>
      <c r="BO10" s="76">
        <f t="shared" si="20"/>
        <v>0</v>
      </c>
      <c r="BP10" s="76">
        <f t="shared" si="21"/>
        <v>21.741552704986443</v>
      </c>
      <c r="BQ10" s="76">
        <f t="shared" si="22"/>
        <v>0</v>
      </c>
      <c r="BR10" s="76">
        <f t="shared" si="23"/>
        <v>0</v>
      </c>
      <c r="BS10" s="76">
        <f t="shared" si="24"/>
        <v>8.696700463530874</v>
      </c>
      <c r="BT10" s="76">
        <f t="shared" si="25"/>
        <v>0</v>
      </c>
      <c r="BU10" s="76">
        <f t="shared" si="26"/>
        <v>0</v>
      </c>
      <c r="BV10" s="76">
        <f t="shared" si="27"/>
        <v>0</v>
      </c>
      <c r="BW10" s="76">
        <f t="shared" si="28"/>
        <v>0</v>
      </c>
      <c r="BX10" s="76">
        <f t="shared" si="29"/>
        <v>0</v>
      </c>
      <c r="BY10" s="78">
        <f t="shared" si="30"/>
        <v>0</v>
      </c>
      <c r="BZ10" s="76">
        <f t="shared" si="31"/>
        <v>0</v>
      </c>
      <c r="CA10" s="76">
        <f t="shared" si="32"/>
        <v>0</v>
      </c>
      <c r="CB10" s="76">
        <f t="shared" si="33"/>
        <v>50</v>
      </c>
      <c r="CC10" s="12">
        <f t="shared" si="34"/>
        <v>65.21912658425866</v>
      </c>
      <c r="CD10" s="12">
        <f t="shared" si="35"/>
        <v>100</v>
      </c>
      <c r="CE10" s="12"/>
      <c r="CF10" s="67" t="str">
        <f t="shared" si="36"/>
        <v>mol % oxide O2</v>
      </c>
      <c r="CG10" s="81">
        <f t="shared" si="52"/>
        <v>53.32898057890602</v>
      </c>
      <c r="CH10" s="81">
        <f t="shared" si="53"/>
        <v>0</v>
      </c>
      <c r="CI10" s="81">
        <f t="shared" si="54"/>
        <v>0</v>
      </c>
      <c r="CJ10" s="81">
        <f t="shared" si="55"/>
        <v>0</v>
      </c>
      <c r="CK10" s="81">
        <f t="shared" si="56"/>
        <v>0</v>
      </c>
      <c r="CL10" s="81">
        <f t="shared" si="57"/>
        <v>0</v>
      </c>
      <c r="CM10" s="81">
        <f t="shared" si="58"/>
        <v>33.334900580518415</v>
      </c>
      <c r="CN10" s="81">
        <f t="shared" si="59"/>
        <v>0</v>
      </c>
      <c r="CO10" s="81">
        <f t="shared" si="60"/>
        <v>0</v>
      </c>
      <c r="CP10" s="81">
        <f t="shared" si="61"/>
        <v>13.33611884057556</v>
      </c>
      <c r="CQ10" s="81">
        <f t="shared" si="62"/>
        <v>0</v>
      </c>
      <c r="CR10" s="81">
        <f t="shared" si="63"/>
        <v>0</v>
      </c>
      <c r="CS10" s="81">
        <f t="shared" si="64"/>
        <v>0</v>
      </c>
      <c r="CT10" s="81">
        <f t="shared" si="68"/>
        <v>0</v>
      </c>
      <c r="CU10" s="81">
        <f t="shared" si="69"/>
        <v>0</v>
      </c>
      <c r="CV10" s="81">
        <f t="shared" si="70"/>
        <v>0</v>
      </c>
      <c r="CW10" s="81">
        <f t="shared" si="71"/>
        <v>0</v>
      </c>
      <c r="CX10" s="81">
        <f t="shared" si="65"/>
        <v>0</v>
      </c>
      <c r="CY10" s="81">
        <f t="shared" si="66"/>
        <v>0</v>
      </c>
      <c r="CZ10" s="81"/>
      <c r="DA10" s="67" t="s">
        <v>280</v>
      </c>
      <c r="DB10" s="60">
        <f t="shared" si="37"/>
        <v>69.561746831482679</v>
      </c>
      <c r="DC10" s="60">
        <f t="shared" si="38"/>
        <v>0</v>
      </c>
      <c r="DD10" s="67">
        <f t="shared" si="39"/>
        <v>0</v>
      </c>
      <c r="DE10" s="67">
        <f t="shared" si="40"/>
        <v>0</v>
      </c>
      <c r="DF10" s="94">
        <f t="shared" si="51"/>
        <v>0</v>
      </c>
      <c r="DG10" s="94">
        <f t="shared" si="41"/>
        <v>0</v>
      </c>
      <c r="DH10" s="95">
        <f t="shared" si="42"/>
        <v>21.741552704986443</v>
      </c>
      <c r="DI10" s="94">
        <f t="shared" si="43"/>
        <v>0</v>
      </c>
      <c r="DJ10" s="94">
        <f t="shared" si="44"/>
        <v>0</v>
      </c>
      <c r="DK10" s="94">
        <f t="shared" si="45"/>
        <v>8.696700463530874</v>
      </c>
      <c r="DL10" s="94">
        <f t="shared" si="46"/>
        <v>0</v>
      </c>
      <c r="DM10" s="94">
        <f t="shared" si="47"/>
        <v>0</v>
      </c>
      <c r="DN10" s="94">
        <f t="shared" si="48"/>
        <v>0</v>
      </c>
      <c r="DO10" s="94">
        <f t="shared" si="49"/>
        <v>0</v>
      </c>
      <c r="DP10" s="94">
        <f t="shared" si="50"/>
        <v>100</v>
      </c>
    </row>
    <row r="11" spans="1:120" s="28" customFormat="1" ht="16" customHeight="1">
      <c r="A11" s="4">
        <v>9</v>
      </c>
      <c r="B11" s="4"/>
      <c r="C11" s="5" t="s">
        <v>290</v>
      </c>
      <c r="D11" s="5" t="s">
        <v>282</v>
      </c>
      <c r="E11" s="4"/>
      <c r="F11" s="4"/>
      <c r="G11" s="4"/>
      <c r="H11" s="4">
        <v>44.4</v>
      </c>
      <c r="I11" s="4"/>
      <c r="J11" s="4">
        <v>35.840000000000003</v>
      </c>
      <c r="K11" s="4"/>
      <c r="L11" s="58"/>
      <c r="M11" s="59"/>
      <c r="N11" s="60"/>
      <c r="O11" s="4"/>
      <c r="P11" s="4"/>
      <c r="Q11" s="39"/>
      <c r="R11" s="39"/>
      <c r="S11" s="4">
        <v>19.2</v>
      </c>
      <c r="T11" s="4">
        <v>0.56000000000000005</v>
      </c>
      <c r="U11" s="4"/>
      <c r="V11" s="39"/>
      <c r="W11" s="60"/>
      <c r="X11" s="39"/>
      <c r="Y11" s="39"/>
      <c r="Z11" s="70"/>
      <c r="AA11" s="70"/>
      <c r="AB11" s="24">
        <f t="shared" si="0"/>
        <v>0</v>
      </c>
      <c r="AC11" s="24">
        <f t="shared" si="1"/>
        <v>0</v>
      </c>
      <c r="AD11" s="24">
        <f t="shared" si="2"/>
        <v>100.00000000000001</v>
      </c>
      <c r="AE11" s="24"/>
      <c r="AF11" s="71">
        <f t="shared" si="67"/>
        <v>0</v>
      </c>
      <c r="AG11" s="97"/>
      <c r="AH11" s="97"/>
      <c r="AI11" s="79"/>
      <c r="AJ11" s="60"/>
      <c r="AK11" s="60"/>
      <c r="AL11" s="60"/>
      <c r="AM11" s="60"/>
      <c r="AN11" s="60"/>
      <c r="AO11" s="60">
        <f t="shared" si="3"/>
        <v>0</v>
      </c>
      <c r="AP11" s="124">
        <f t="shared" si="72"/>
        <v>100.00000000000001</v>
      </c>
      <c r="AQ11" s="126"/>
      <c r="AR11" s="126"/>
      <c r="AS11" s="140">
        <f t="shared" si="5"/>
        <v>0</v>
      </c>
      <c r="AT11" s="140">
        <f t="shared" si="6"/>
        <v>0</v>
      </c>
      <c r="AU11" s="140">
        <f t="shared" si="7"/>
        <v>0</v>
      </c>
      <c r="AV11" s="140">
        <f t="shared" si="8"/>
        <v>0</v>
      </c>
      <c r="AW11" s="140">
        <f t="shared" si="9"/>
        <v>0</v>
      </c>
      <c r="AX11" s="140">
        <f t="shared" si="10"/>
        <v>0</v>
      </c>
      <c r="AY11" s="140">
        <f t="shared" si="11"/>
        <v>0</v>
      </c>
      <c r="AZ11" s="126"/>
      <c r="BA11" s="68" t="s">
        <v>146</v>
      </c>
      <c r="BB11" s="124"/>
      <c r="BC11" s="96" t="s">
        <v>96</v>
      </c>
      <c r="BD11" s="124"/>
      <c r="BE11" s="50">
        <f t="shared" si="12"/>
        <v>100</v>
      </c>
      <c r="BF11" s="50">
        <f t="shared" si="13"/>
        <v>62.499879236978707</v>
      </c>
      <c r="BG11" s="51"/>
      <c r="BH11" s="12"/>
      <c r="BI11" s="76">
        <f t="shared" si="14"/>
        <v>25.62496354631574</v>
      </c>
      <c r="BJ11" s="76">
        <f t="shared" si="15"/>
        <v>0</v>
      </c>
      <c r="BK11" s="76">
        <f t="shared" si="16"/>
        <v>24.376894624582235</v>
      </c>
      <c r="BL11" s="76">
        <f t="shared" si="17"/>
        <v>0</v>
      </c>
      <c r="BM11" s="76">
        <f t="shared" si="18"/>
        <v>0</v>
      </c>
      <c r="BN11" s="77">
        <f t="shared" si="19"/>
        <v>0</v>
      </c>
      <c r="BO11" s="76">
        <f t="shared" si="20"/>
        <v>0</v>
      </c>
      <c r="BP11" s="76">
        <f t="shared" si="21"/>
        <v>0</v>
      </c>
      <c r="BQ11" s="76">
        <f t="shared" si="22"/>
        <v>0</v>
      </c>
      <c r="BR11" s="76">
        <f t="shared" si="23"/>
        <v>0</v>
      </c>
      <c r="BS11" s="76">
        <f t="shared" si="24"/>
        <v>11.871440874909586</v>
      </c>
      <c r="BT11" s="76">
        <f t="shared" si="25"/>
        <v>0.62658019117114494</v>
      </c>
      <c r="BU11" s="76">
        <f t="shared" si="26"/>
        <v>0</v>
      </c>
      <c r="BV11" s="76">
        <f t="shared" si="27"/>
        <v>0</v>
      </c>
      <c r="BW11" s="76">
        <f t="shared" si="28"/>
        <v>0</v>
      </c>
      <c r="BX11" s="76">
        <f t="shared" si="29"/>
        <v>0</v>
      </c>
      <c r="BY11" s="78">
        <f t="shared" si="30"/>
        <v>0</v>
      </c>
      <c r="BZ11" s="76">
        <f t="shared" si="31"/>
        <v>0</v>
      </c>
      <c r="CA11" s="76">
        <f t="shared" si="32"/>
        <v>0</v>
      </c>
      <c r="CB11" s="76">
        <f t="shared" si="33"/>
        <v>49.999999999999993</v>
      </c>
      <c r="CC11" s="12">
        <f t="shared" si="34"/>
        <v>62.499879236978707</v>
      </c>
      <c r="CD11" s="12">
        <f t="shared" si="35"/>
        <v>99.999999999999986</v>
      </c>
      <c r="CE11" s="12"/>
      <c r="CF11" s="67" t="str">
        <f t="shared" si="36"/>
        <v>mol % oxide O2</v>
      </c>
      <c r="CG11" s="81">
        <f t="shared" si="52"/>
        <v>51.249634774990923</v>
      </c>
      <c r="CH11" s="81">
        <f t="shared" si="53"/>
        <v>0</v>
      </c>
      <c r="CI11" s="81">
        <f t="shared" si="54"/>
        <v>24.378139442427837</v>
      </c>
      <c r="CJ11" s="81">
        <f t="shared" si="55"/>
        <v>0</v>
      </c>
      <c r="CK11" s="81">
        <f t="shared" si="56"/>
        <v>0</v>
      </c>
      <c r="CL11" s="81">
        <f t="shared" si="57"/>
        <v>0</v>
      </c>
      <c r="CM11" s="81">
        <f t="shared" si="58"/>
        <v>0</v>
      </c>
      <c r="CN11" s="81">
        <f t="shared" si="59"/>
        <v>0</v>
      </c>
      <c r="CO11" s="81">
        <f t="shared" si="60"/>
        <v>0</v>
      </c>
      <c r="CP11" s="81">
        <f t="shared" si="61"/>
        <v>23.745597338952798</v>
      </c>
      <c r="CQ11" s="81">
        <f t="shared" si="62"/>
        <v>0.62662844362843284</v>
      </c>
      <c r="CR11" s="81">
        <f t="shared" si="63"/>
        <v>0</v>
      </c>
      <c r="CS11" s="81">
        <f t="shared" si="64"/>
        <v>0</v>
      </c>
      <c r="CT11" s="81">
        <f t="shared" si="68"/>
        <v>0</v>
      </c>
      <c r="CU11" s="81">
        <f t="shared" si="69"/>
        <v>0</v>
      </c>
      <c r="CV11" s="81">
        <f t="shared" si="70"/>
        <v>0</v>
      </c>
      <c r="CW11" s="81">
        <f t="shared" si="71"/>
        <v>0</v>
      </c>
      <c r="CX11" s="81">
        <f t="shared" si="65"/>
        <v>0</v>
      </c>
      <c r="CY11" s="81">
        <f t="shared" si="66"/>
        <v>0</v>
      </c>
      <c r="CZ11" s="81"/>
      <c r="DA11" s="67" t="s">
        <v>280</v>
      </c>
      <c r="DB11" s="60">
        <f t="shared" si="37"/>
        <v>51.249927092631481</v>
      </c>
      <c r="DC11" s="60">
        <f t="shared" si="38"/>
        <v>0</v>
      </c>
      <c r="DD11" s="67">
        <f t="shared" si="39"/>
        <v>36.565341936873352</v>
      </c>
      <c r="DE11" s="67">
        <f t="shared" si="40"/>
        <v>0</v>
      </c>
      <c r="DF11" s="94">
        <f t="shared" si="51"/>
        <v>0</v>
      </c>
      <c r="DG11" s="94">
        <f t="shared" si="41"/>
        <v>0</v>
      </c>
      <c r="DH11" s="95">
        <f t="shared" si="42"/>
        <v>0</v>
      </c>
      <c r="DI11" s="94">
        <f t="shared" si="43"/>
        <v>0</v>
      </c>
      <c r="DJ11" s="94">
        <f t="shared" si="44"/>
        <v>0</v>
      </c>
      <c r="DK11" s="94">
        <f t="shared" si="45"/>
        <v>11.871440874909586</v>
      </c>
      <c r="DL11" s="94">
        <f t="shared" si="46"/>
        <v>0.62658019117114494</v>
      </c>
      <c r="DM11" s="94">
        <f t="shared" si="47"/>
        <v>0</v>
      </c>
      <c r="DN11" s="94">
        <f t="shared" si="48"/>
        <v>0</v>
      </c>
      <c r="DO11" s="94">
        <f t="shared" si="49"/>
        <v>0</v>
      </c>
      <c r="DP11" s="94">
        <f t="shared" si="50"/>
        <v>99.999999999999986</v>
      </c>
    </row>
    <row r="12" spans="1:120" s="28" customFormat="1" ht="16" customHeight="1">
      <c r="A12" s="4">
        <v>10</v>
      </c>
      <c r="B12" s="4"/>
      <c r="C12" s="5" t="s">
        <v>291</v>
      </c>
      <c r="D12" s="5" t="s">
        <v>282</v>
      </c>
      <c r="E12" s="4"/>
      <c r="F12" s="4"/>
      <c r="G12" s="4"/>
      <c r="H12" s="4">
        <v>67.39</v>
      </c>
      <c r="I12" s="4"/>
      <c r="J12" s="4">
        <v>20.350000000000001</v>
      </c>
      <c r="K12" s="4"/>
      <c r="L12" s="58"/>
      <c r="M12" s="59"/>
      <c r="N12" s="60"/>
      <c r="O12" s="4"/>
      <c r="P12" s="4"/>
      <c r="Q12" s="39"/>
      <c r="R12" s="39"/>
      <c r="S12" s="4">
        <v>1.07</v>
      </c>
      <c r="T12" s="4">
        <v>11.19</v>
      </c>
      <c r="U12" s="4"/>
      <c r="V12" s="39"/>
      <c r="W12" s="60"/>
      <c r="X12" s="39"/>
      <c r="Y12" s="39"/>
      <c r="Z12" s="70"/>
      <c r="AA12" s="70"/>
      <c r="AB12" s="24">
        <f t="shared" si="0"/>
        <v>0</v>
      </c>
      <c r="AC12" s="24">
        <f t="shared" si="1"/>
        <v>0</v>
      </c>
      <c r="AD12" s="24">
        <f t="shared" si="2"/>
        <v>100</v>
      </c>
      <c r="AE12" s="24"/>
      <c r="AF12" s="71">
        <f t="shared" si="67"/>
        <v>0</v>
      </c>
      <c r="AG12" s="97"/>
      <c r="AH12" s="97"/>
      <c r="AI12" s="79"/>
      <c r="AJ12" s="60"/>
      <c r="AK12" s="60"/>
      <c r="AL12" s="60"/>
      <c r="AM12" s="60"/>
      <c r="AN12" s="60"/>
      <c r="AO12" s="60">
        <f t="shared" si="3"/>
        <v>0</v>
      </c>
      <c r="AP12" s="124">
        <f t="shared" si="72"/>
        <v>100</v>
      </c>
      <c r="AQ12" s="126"/>
      <c r="AR12" s="126"/>
      <c r="AS12" s="140">
        <f t="shared" si="5"/>
        <v>0</v>
      </c>
      <c r="AT12" s="140">
        <f t="shared" si="6"/>
        <v>0</v>
      </c>
      <c r="AU12" s="140">
        <f t="shared" si="7"/>
        <v>0</v>
      </c>
      <c r="AV12" s="140">
        <f t="shared" si="8"/>
        <v>0</v>
      </c>
      <c r="AW12" s="140">
        <f t="shared" si="9"/>
        <v>0</v>
      </c>
      <c r="AX12" s="140">
        <f t="shared" si="10"/>
        <v>0</v>
      </c>
      <c r="AY12" s="140">
        <f t="shared" si="11"/>
        <v>0</v>
      </c>
      <c r="AZ12" s="126"/>
      <c r="BA12" s="68" t="s">
        <v>146</v>
      </c>
      <c r="BB12" s="124"/>
      <c r="BC12" s="96" t="s">
        <v>302</v>
      </c>
      <c r="BD12" s="124"/>
      <c r="BE12" s="50" t="str">
        <f t="shared" si="12"/>
        <v/>
      </c>
      <c r="BF12" s="50" t="str">
        <f t="shared" si="13"/>
        <v/>
      </c>
      <c r="BG12" s="51"/>
      <c r="BH12" s="12"/>
      <c r="BI12" s="76">
        <f t="shared" si="14"/>
        <v>11.216711051930758</v>
      </c>
      <c r="BJ12" s="76">
        <f t="shared" si="15"/>
        <v>0</v>
      </c>
      <c r="BK12" s="76">
        <f t="shared" si="16"/>
        <v>3.9917614750882704</v>
      </c>
      <c r="BL12" s="76">
        <f t="shared" si="17"/>
        <v>0</v>
      </c>
      <c r="BM12" s="76">
        <f t="shared" si="18"/>
        <v>0</v>
      </c>
      <c r="BN12" s="77" t="str">
        <f t="shared" si="19"/>
        <v>-</v>
      </c>
      <c r="BO12" s="76">
        <f t="shared" si="20"/>
        <v>0</v>
      </c>
      <c r="BP12" s="76">
        <f t="shared" si="21"/>
        <v>0</v>
      </c>
      <c r="BQ12" s="76">
        <f t="shared" si="22"/>
        <v>0</v>
      </c>
      <c r="BR12" s="76">
        <f t="shared" si="23"/>
        <v>0</v>
      </c>
      <c r="BS12" s="76">
        <f t="shared" si="24"/>
        <v>0.1907988587731812</v>
      </c>
      <c r="BT12" s="76">
        <f t="shared" si="25"/>
        <v>3.6108422071636013</v>
      </c>
      <c r="BU12" s="76">
        <f t="shared" si="26"/>
        <v>0</v>
      </c>
      <c r="BV12" s="76">
        <f t="shared" si="27"/>
        <v>0</v>
      </c>
      <c r="BW12" s="76">
        <f t="shared" si="28"/>
        <v>0</v>
      </c>
      <c r="BX12" s="76">
        <f t="shared" si="29"/>
        <v>0</v>
      </c>
      <c r="BY12" s="78">
        <f t="shared" si="30"/>
        <v>0</v>
      </c>
      <c r="BZ12" s="76">
        <f t="shared" si="31"/>
        <v>0</v>
      </c>
      <c r="CA12" s="76">
        <f t="shared" si="32"/>
        <v>0</v>
      </c>
      <c r="CB12" s="76">
        <f t="shared" si="33"/>
        <v>15.208642139424452</v>
      </c>
      <c r="CC12" s="12">
        <f t="shared" si="34"/>
        <v>19.010113592955811</v>
      </c>
      <c r="CD12" s="12">
        <f t="shared" si="35"/>
        <v>30.417284278848904</v>
      </c>
      <c r="CE12" s="12"/>
      <c r="CF12" s="67" t="str">
        <f t="shared" si="36"/>
        <v>mol % oxide O2</v>
      </c>
      <c r="CG12" s="81">
        <f t="shared" si="52"/>
        <v>73.750011786487207</v>
      </c>
      <c r="CH12" s="81">
        <f t="shared" si="53"/>
        <v>0</v>
      </c>
      <c r="CI12" s="81">
        <f t="shared" si="54"/>
        <v>13.123685142960396</v>
      </c>
      <c r="CJ12" s="81">
        <f t="shared" si="55"/>
        <v>0</v>
      </c>
      <c r="CK12" s="81">
        <f t="shared" si="56"/>
        <v>0</v>
      </c>
      <c r="CL12" s="81">
        <f t="shared" si="57"/>
        <v>0</v>
      </c>
      <c r="CM12" s="81">
        <f t="shared" si="58"/>
        <v>0</v>
      </c>
      <c r="CN12" s="81">
        <f t="shared" si="59"/>
        <v>0</v>
      </c>
      <c r="CO12" s="81">
        <f t="shared" si="60"/>
        <v>0</v>
      </c>
      <c r="CP12" s="81">
        <f t="shared" si="61"/>
        <v>1.2546554604667459</v>
      </c>
      <c r="CQ12" s="81">
        <f t="shared" si="62"/>
        <v>11.871647610085651</v>
      </c>
      <c r="CR12" s="81">
        <f t="shared" si="63"/>
        <v>0</v>
      </c>
      <c r="CS12" s="81">
        <f t="shared" si="64"/>
        <v>0</v>
      </c>
      <c r="CT12" s="81">
        <f t="shared" si="68"/>
        <v>0</v>
      </c>
      <c r="CU12" s="81">
        <f t="shared" si="69"/>
        <v>0</v>
      </c>
      <c r="CV12" s="81">
        <f t="shared" si="70"/>
        <v>0</v>
      </c>
      <c r="CW12" s="81">
        <f t="shared" si="71"/>
        <v>0</v>
      </c>
      <c r="CX12" s="81">
        <f t="shared" si="65"/>
        <v>0</v>
      </c>
      <c r="CY12" s="81">
        <f t="shared" si="66"/>
        <v>0</v>
      </c>
      <c r="CZ12" s="81"/>
      <c r="DA12" s="67" t="s">
        <v>280</v>
      </c>
      <c r="DB12" s="60">
        <f t="shared" si="37"/>
        <v>22.433422103861517</v>
      </c>
      <c r="DC12" s="60">
        <f t="shared" si="38"/>
        <v>0</v>
      </c>
      <c r="DD12" s="67">
        <f t="shared" si="39"/>
        <v>5.9876422126324051</v>
      </c>
      <c r="DE12" s="67">
        <f t="shared" si="40"/>
        <v>0</v>
      </c>
      <c r="DF12" s="94" t="e">
        <f t="shared" si="51"/>
        <v>#VALUE!</v>
      </c>
      <c r="DG12" s="94">
        <f t="shared" si="41"/>
        <v>0</v>
      </c>
      <c r="DH12" s="95">
        <f t="shared" si="42"/>
        <v>0</v>
      </c>
      <c r="DI12" s="94">
        <f t="shared" si="43"/>
        <v>0</v>
      </c>
      <c r="DJ12" s="94">
        <f t="shared" si="44"/>
        <v>0</v>
      </c>
      <c r="DK12" s="94">
        <f t="shared" si="45"/>
        <v>0.1907988587731812</v>
      </c>
      <c r="DL12" s="94">
        <f t="shared" si="46"/>
        <v>3.6108422071636013</v>
      </c>
      <c r="DM12" s="94">
        <f t="shared" si="47"/>
        <v>0</v>
      </c>
      <c r="DN12" s="94">
        <f t="shared" si="48"/>
        <v>0</v>
      </c>
      <c r="DO12" s="94">
        <f t="shared" si="49"/>
        <v>0</v>
      </c>
      <c r="DP12" s="94">
        <f t="shared" si="50"/>
        <v>30.417284278848904</v>
      </c>
    </row>
    <row r="13" spans="1:120" s="28" customFormat="1" ht="16" customHeight="1">
      <c r="A13" s="4">
        <v>11</v>
      </c>
      <c r="B13" s="4"/>
      <c r="C13" s="5" t="s">
        <v>292</v>
      </c>
      <c r="D13" s="5" t="s">
        <v>282</v>
      </c>
      <c r="E13" s="4"/>
      <c r="F13" s="4"/>
      <c r="G13" s="4"/>
      <c r="H13" s="9">
        <v>0</v>
      </c>
      <c r="I13" s="4"/>
      <c r="J13" s="4">
        <v>71.67</v>
      </c>
      <c r="K13" s="4"/>
      <c r="L13" s="58"/>
      <c r="M13" s="59"/>
      <c r="N13" s="60"/>
      <c r="O13" s="4"/>
      <c r="P13" s="4">
        <v>28.33</v>
      </c>
      <c r="Q13" s="39"/>
      <c r="R13" s="39"/>
      <c r="S13" s="4"/>
      <c r="T13" s="4"/>
      <c r="U13" s="4"/>
      <c r="V13" s="39"/>
      <c r="W13" s="60"/>
      <c r="X13" s="39"/>
      <c r="Y13" s="39"/>
      <c r="Z13" s="70"/>
      <c r="AA13" s="70"/>
      <c r="AB13" s="24">
        <f t="shared" si="0"/>
        <v>0</v>
      </c>
      <c r="AC13" s="24">
        <f t="shared" si="1"/>
        <v>0</v>
      </c>
      <c r="AD13" s="24">
        <f t="shared" si="2"/>
        <v>100</v>
      </c>
      <c r="AE13" s="24"/>
      <c r="AF13" s="71">
        <f t="shared" si="67"/>
        <v>0</v>
      </c>
      <c r="AG13" s="97"/>
      <c r="AH13" s="97"/>
      <c r="AI13" s="79"/>
      <c r="AJ13" s="60"/>
      <c r="AK13" s="60"/>
      <c r="AL13" s="60"/>
      <c r="AM13" s="60"/>
      <c r="AN13" s="60"/>
      <c r="AO13" s="60">
        <f t="shared" si="3"/>
        <v>0</v>
      </c>
      <c r="AP13" s="124">
        <f t="shared" si="72"/>
        <v>100</v>
      </c>
      <c r="AQ13" s="126"/>
      <c r="AR13" s="126"/>
      <c r="AS13" s="140">
        <f t="shared" si="5"/>
        <v>0</v>
      </c>
      <c r="AT13" s="140">
        <f t="shared" si="6"/>
        <v>0</v>
      </c>
      <c r="AU13" s="140">
        <f t="shared" si="7"/>
        <v>0</v>
      </c>
      <c r="AV13" s="140">
        <f t="shared" si="8"/>
        <v>0</v>
      </c>
      <c r="AW13" s="140">
        <f t="shared" si="9"/>
        <v>0</v>
      </c>
      <c r="AX13" s="140">
        <f t="shared" si="10"/>
        <v>0</v>
      </c>
      <c r="AY13" s="140">
        <f t="shared" si="11"/>
        <v>0</v>
      </c>
      <c r="AZ13" s="126"/>
      <c r="BA13" s="68" t="s">
        <v>146</v>
      </c>
      <c r="BB13" s="124"/>
      <c r="BC13" s="96" t="s">
        <v>96</v>
      </c>
      <c r="BD13" s="124"/>
      <c r="BE13" s="50">
        <f t="shared" si="12"/>
        <v>100</v>
      </c>
      <c r="BF13" s="50">
        <f t="shared" si="13"/>
        <v>75.000488599497956</v>
      </c>
      <c r="BG13" s="51"/>
      <c r="BH13" s="12"/>
      <c r="BI13" s="76">
        <f t="shared" si="14"/>
        <v>0</v>
      </c>
      <c r="BJ13" s="76">
        <f t="shared" si="15"/>
        <v>0</v>
      </c>
      <c r="BK13" s="76">
        <f t="shared" si="16"/>
        <v>49.999022801004081</v>
      </c>
      <c r="BL13" s="76">
        <f t="shared" si="17"/>
        <v>0</v>
      </c>
      <c r="BM13" s="76">
        <f t="shared" si="18"/>
        <v>0</v>
      </c>
      <c r="BN13" s="77">
        <f t="shared" si="19"/>
        <v>0</v>
      </c>
      <c r="BO13" s="76">
        <f t="shared" si="20"/>
        <v>0</v>
      </c>
      <c r="BP13" s="76">
        <f t="shared" si="21"/>
        <v>25.001465798493879</v>
      </c>
      <c r="BQ13" s="76">
        <f t="shared" si="22"/>
        <v>0</v>
      </c>
      <c r="BR13" s="76">
        <f t="shared" si="23"/>
        <v>0</v>
      </c>
      <c r="BS13" s="76">
        <f t="shared" si="24"/>
        <v>0</v>
      </c>
      <c r="BT13" s="76">
        <f t="shared" si="25"/>
        <v>0</v>
      </c>
      <c r="BU13" s="76">
        <f t="shared" si="26"/>
        <v>0</v>
      </c>
      <c r="BV13" s="76">
        <f t="shared" si="27"/>
        <v>0</v>
      </c>
      <c r="BW13" s="76">
        <f t="shared" si="28"/>
        <v>0</v>
      </c>
      <c r="BX13" s="76">
        <f t="shared" si="29"/>
        <v>0</v>
      </c>
      <c r="BY13" s="78">
        <f t="shared" si="30"/>
        <v>0</v>
      </c>
      <c r="BZ13" s="76">
        <f t="shared" si="31"/>
        <v>0</v>
      </c>
      <c r="CA13" s="76">
        <f t="shared" si="32"/>
        <v>0</v>
      </c>
      <c r="CB13" s="76">
        <f t="shared" si="33"/>
        <v>50</v>
      </c>
      <c r="CC13" s="12">
        <f t="shared" si="34"/>
        <v>75.000488599497956</v>
      </c>
      <c r="CD13" s="12">
        <f t="shared" si="35"/>
        <v>100</v>
      </c>
      <c r="CE13" s="12"/>
      <c r="CF13" s="67" t="str">
        <f t="shared" si="36"/>
        <v>mol % oxide O2</v>
      </c>
      <c r="CG13" s="81">
        <f t="shared" si="52"/>
        <v>0</v>
      </c>
      <c r="CH13" s="81">
        <f t="shared" si="53"/>
        <v>0</v>
      </c>
      <c r="CI13" s="81">
        <f t="shared" si="54"/>
        <v>50.000281713652157</v>
      </c>
      <c r="CJ13" s="81">
        <f t="shared" si="55"/>
        <v>0</v>
      </c>
      <c r="CK13" s="81">
        <f t="shared" si="56"/>
        <v>0</v>
      </c>
      <c r="CL13" s="81">
        <f t="shared" si="57"/>
        <v>0</v>
      </c>
      <c r="CM13" s="81">
        <f t="shared" si="58"/>
        <v>49.99971828634785</v>
      </c>
      <c r="CN13" s="81">
        <f t="shared" si="59"/>
        <v>0</v>
      </c>
      <c r="CO13" s="81">
        <f t="shared" si="60"/>
        <v>0</v>
      </c>
      <c r="CP13" s="81">
        <f t="shared" si="61"/>
        <v>0</v>
      </c>
      <c r="CQ13" s="81">
        <f t="shared" si="62"/>
        <v>0</v>
      </c>
      <c r="CR13" s="81">
        <f t="shared" si="63"/>
        <v>0</v>
      </c>
      <c r="CS13" s="81">
        <f t="shared" si="64"/>
        <v>0</v>
      </c>
      <c r="CT13" s="81">
        <f t="shared" si="68"/>
        <v>0</v>
      </c>
      <c r="CU13" s="81">
        <f t="shared" si="69"/>
        <v>0</v>
      </c>
      <c r="CV13" s="81">
        <f t="shared" si="70"/>
        <v>0</v>
      </c>
      <c r="CW13" s="81">
        <f t="shared" si="71"/>
        <v>0</v>
      </c>
      <c r="CX13" s="81">
        <f t="shared" si="65"/>
        <v>0</v>
      </c>
      <c r="CY13" s="81">
        <f t="shared" si="66"/>
        <v>0</v>
      </c>
      <c r="CZ13" s="81"/>
      <c r="DA13" s="67" t="s">
        <v>280</v>
      </c>
      <c r="DB13" s="60">
        <f t="shared" si="37"/>
        <v>0</v>
      </c>
      <c r="DC13" s="60">
        <f t="shared" si="38"/>
        <v>0</v>
      </c>
      <c r="DD13" s="67">
        <f t="shared" si="39"/>
        <v>74.998534201506118</v>
      </c>
      <c r="DE13" s="67">
        <f t="shared" si="40"/>
        <v>0</v>
      </c>
      <c r="DF13" s="94">
        <f t="shared" si="51"/>
        <v>0</v>
      </c>
      <c r="DG13" s="94">
        <f t="shared" si="41"/>
        <v>0</v>
      </c>
      <c r="DH13" s="95">
        <f t="shared" si="42"/>
        <v>25.001465798493879</v>
      </c>
      <c r="DI13" s="94">
        <f t="shared" si="43"/>
        <v>0</v>
      </c>
      <c r="DJ13" s="94">
        <f t="shared" si="44"/>
        <v>0</v>
      </c>
      <c r="DK13" s="94">
        <f t="shared" si="45"/>
        <v>0</v>
      </c>
      <c r="DL13" s="94">
        <f t="shared" si="46"/>
        <v>0</v>
      </c>
      <c r="DM13" s="94">
        <f t="shared" si="47"/>
        <v>0</v>
      </c>
      <c r="DN13" s="94">
        <f t="shared" si="48"/>
        <v>0</v>
      </c>
      <c r="DO13" s="94">
        <f t="shared" si="49"/>
        <v>0</v>
      </c>
      <c r="DP13" s="94">
        <f t="shared" si="50"/>
        <v>100</v>
      </c>
    </row>
    <row r="14" spans="1:120" s="28" customFormat="1" ht="16" customHeight="1">
      <c r="A14" s="4">
        <v>12</v>
      </c>
      <c r="B14" s="4"/>
      <c r="C14" s="5" t="s">
        <v>293</v>
      </c>
      <c r="D14" s="5" t="s">
        <v>282</v>
      </c>
      <c r="E14" s="4"/>
      <c r="F14" s="4"/>
      <c r="G14" s="4"/>
      <c r="H14" s="4"/>
      <c r="I14" s="4"/>
      <c r="J14" s="4"/>
      <c r="K14" s="4">
        <v>67.900000000000006</v>
      </c>
      <c r="L14" s="58"/>
      <c r="M14" s="59">
        <v>32.1</v>
      </c>
      <c r="N14" s="60">
        <f>L14*1/((159.69/71.844)/2)+M14</f>
        <v>32.1</v>
      </c>
      <c r="O14" s="4"/>
      <c r="P14" s="4"/>
      <c r="Q14" s="39"/>
      <c r="R14" s="39"/>
      <c r="S14" s="4"/>
      <c r="T14" s="4"/>
      <c r="U14" s="4"/>
      <c r="V14" s="39"/>
      <c r="W14" s="60"/>
      <c r="X14" s="39"/>
      <c r="Y14" s="39"/>
      <c r="Z14" s="70"/>
      <c r="AA14" s="70"/>
      <c r="AB14" s="24">
        <f t="shared" si="0"/>
        <v>0</v>
      </c>
      <c r="AC14" s="24">
        <f t="shared" si="1"/>
        <v>0</v>
      </c>
      <c r="AD14" s="24">
        <f t="shared" si="2"/>
        <v>100</v>
      </c>
      <c r="AE14" s="24"/>
      <c r="AF14" s="71">
        <f t="shared" si="67"/>
        <v>0</v>
      </c>
      <c r="AG14" s="79"/>
      <c r="AH14" s="97"/>
      <c r="AI14" s="79"/>
      <c r="AJ14" s="60"/>
      <c r="AK14" s="60"/>
      <c r="AL14" s="60"/>
      <c r="AM14" s="60"/>
      <c r="AN14" s="60"/>
      <c r="AO14" s="60">
        <f t="shared" si="3"/>
        <v>-3.5631000000000004</v>
      </c>
      <c r="AP14" s="124">
        <f t="shared" si="72"/>
        <v>100</v>
      </c>
      <c r="AQ14" s="126"/>
      <c r="AR14" s="126"/>
      <c r="AS14" s="140">
        <f t="shared" si="5"/>
        <v>0</v>
      </c>
      <c r="AT14" s="140">
        <f t="shared" si="6"/>
        <v>0</v>
      </c>
      <c r="AU14" s="140">
        <f t="shared" si="7"/>
        <v>24.951624352764323</v>
      </c>
      <c r="AV14" s="140">
        <f t="shared" si="8"/>
        <v>0</v>
      </c>
      <c r="AW14" s="140">
        <f t="shared" si="9"/>
        <v>0</v>
      </c>
      <c r="AX14" s="140">
        <f t="shared" si="10"/>
        <v>0</v>
      </c>
      <c r="AY14" s="140">
        <f t="shared" si="11"/>
        <v>0</v>
      </c>
      <c r="AZ14" s="126"/>
      <c r="BA14" s="68" t="s">
        <v>146</v>
      </c>
      <c r="BB14" s="124"/>
      <c r="BC14" s="96" t="s">
        <v>96</v>
      </c>
      <c r="BD14" s="124"/>
      <c r="BE14" s="50">
        <f t="shared" si="12"/>
        <v>100</v>
      </c>
      <c r="BF14" s="50">
        <f t="shared" si="13"/>
        <v>75.000338206166788</v>
      </c>
      <c r="BG14" s="51"/>
      <c r="BH14" s="12"/>
      <c r="BI14" s="76">
        <f t="shared" si="14"/>
        <v>0</v>
      </c>
      <c r="BJ14" s="76">
        <f t="shared" si="15"/>
        <v>0</v>
      </c>
      <c r="BK14" s="76">
        <f t="shared" si="16"/>
        <v>0</v>
      </c>
      <c r="BL14" s="76">
        <f t="shared" si="17"/>
        <v>49.999323587666417</v>
      </c>
      <c r="BM14" s="76">
        <f t="shared" si="18"/>
        <v>25.001014618500371</v>
      </c>
      <c r="BN14" s="77">
        <f t="shared" si="19"/>
        <v>0</v>
      </c>
      <c r="BO14" s="76">
        <f t="shared" si="20"/>
        <v>0</v>
      </c>
      <c r="BP14" s="76">
        <f t="shared" si="21"/>
        <v>0</v>
      </c>
      <c r="BQ14" s="76">
        <f t="shared" si="22"/>
        <v>0</v>
      </c>
      <c r="BR14" s="76">
        <f t="shared" si="23"/>
        <v>0</v>
      </c>
      <c r="BS14" s="76">
        <f t="shared" si="24"/>
        <v>0</v>
      </c>
      <c r="BT14" s="76">
        <f t="shared" si="25"/>
        <v>0</v>
      </c>
      <c r="BU14" s="76">
        <f t="shared" si="26"/>
        <v>0</v>
      </c>
      <c r="BV14" s="76">
        <f t="shared" si="27"/>
        <v>0</v>
      </c>
      <c r="BW14" s="76">
        <f t="shared" si="28"/>
        <v>0</v>
      </c>
      <c r="BX14" s="76">
        <f t="shared" si="29"/>
        <v>0</v>
      </c>
      <c r="BY14" s="78">
        <f t="shared" si="30"/>
        <v>0</v>
      </c>
      <c r="BZ14" s="76">
        <f t="shared" si="31"/>
        <v>0</v>
      </c>
      <c r="CA14" s="76">
        <f t="shared" si="32"/>
        <v>0</v>
      </c>
      <c r="CB14" s="76">
        <f t="shared" si="33"/>
        <v>50</v>
      </c>
      <c r="CC14" s="12">
        <f t="shared" si="34"/>
        <v>75.000338206166788</v>
      </c>
      <c r="CD14" s="12">
        <f t="shared" si="35"/>
        <v>100</v>
      </c>
      <c r="CE14" s="12"/>
      <c r="CF14" s="67" t="str">
        <f t="shared" si="36"/>
        <v>mol % oxide O2</v>
      </c>
      <c r="CG14" s="81">
        <f t="shared" si="52"/>
        <v>0</v>
      </c>
      <c r="CH14" s="81">
        <f t="shared" si="53"/>
        <v>0</v>
      </c>
      <c r="CI14" s="81">
        <f t="shared" si="54"/>
        <v>0</v>
      </c>
      <c r="CJ14" s="81">
        <f t="shared" si="55"/>
        <v>49.99655942379357</v>
      </c>
      <c r="CK14" s="81">
        <f t="shared" si="56"/>
        <v>50.00344057620643</v>
      </c>
      <c r="CL14" s="81">
        <f t="shared" si="57"/>
        <v>0</v>
      </c>
      <c r="CM14" s="81">
        <f t="shared" si="58"/>
        <v>0</v>
      </c>
      <c r="CN14" s="81">
        <f t="shared" si="59"/>
        <v>0</v>
      </c>
      <c r="CO14" s="81">
        <f t="shared" si="60"/>
        <v>0</v>
      </c>
      <c r="CP14" s="81">
        <f t="shared" si="61"/>
        <v>0</v>
      </c>
      <c r="CQ14" s="81">
        <f t="shared" si="62"/>
        <v>0</v>
      </c>
      <c r="CR14" s="81">
        <f t="shared" si="63"/>
        <v>0</v>
      </c>
      <c r="CS14" s="81">
        <f t="shared" si="64"/>
        <v>0</v>
      </c>
      <c r="CT14" s="81">
        <f t="shared" si="68"/>
        <v>0</v>
      </c>
      <c r="CU14" s="81">
        <f t="shared" si="69"/>
        <v>0</v>
      </c>
      <c r="CV14" s="81">
        <f t="shared" si="70"/>
        <v>0</v>
      </c>
      <c r="CW14" s="81">
        <f t="shared" si="71"/>
        <v>0</v>
      </c>
      <c r="CX14" s="81">
        <f t="shared" si="65"/>
        <v>0</v>
      </c>
      <c r="CY14" s="81">
        <f t="shared" si="66"/>
        <v>0</v>
      </c>
      <c r="CZ14" s="81"/>
      <c r="DA14" s="67" t="s">
        <v>280</v>
      </c>
      <c r="DB14" s="60">
        <f t="shared" si="37"/>
        <v>0</v>
      </c>
      <c r="DC14" s="60">
        <f t="shared" si="38"/>
        <v>0</v>
      </c>
      <c r="DD14" s="67">
        <f t="shared" si="39"/>
        <v>0</v>
      </c>
      <c r="DE14" s="67">
        <f t="shared" si="40"/>
        <v>74.998985381499622</v>
      </c>
      <c r="DF14" s="94">
        <f t="shared" si="51"/>
        <v>25.001014618500371</v>
      </c>
      <c r="DG14" s="94">
        <f t="shared" si="41"/>
        <v>0</v>
      </c>
      <c r="DH14" s="95">
        <f t="shared" si="42"/>
        <v>0</v>
      </c>
      <c r="DI14" s="94">
        <f t="shared" si="43"/>
        <v>0</v>
      </c>
      <c r="DJ14" s="94">
        <f t="shared" si="44"/>
        <v>0</v>
      </c>
      <c r="DK14" s="94">
        <f t="shared" si="45"/>
        <v>0</v>
      </c>
      <c r="DL14" s="94">
        <f t="shared" si="46"/>
        <v>0</v>
      </c>
      <c r="DM14" s="94">
        <f t="shared" si="47"/>
        <v>0</v>
      </c>
      <c r="DN14" s="94">
        <f t="shared" si="48"/>
        <v>0</v>
      </c>
      <c r="DO14" s="94">
        <f t="shared" si="49"/>
        <v>0</v>
      </c>
      <c r="DP14" s="94">
        <f t="shared" si="50"/>
        <v>100</v>
      </c>
    </row>
    <row r="15" spans="1:120" s="28" customFormat="1" ht="16" customHeight="1">
      <c r="A15" s="4">
        <v>13</v>
      </c>
      <c r="B15" s="4"/>
      <c r="C15" s="5" t="s">
        <v>294</v>
      </c>
      <c r="D15" s="5" t="s">
        <v>282</v>
      </c>
      <c r="E15" s="4"/>
      <c r="F15" s="4"/>
      <c r="G15" s="4"/>
      <c r="H15" s="4"/>
      <c r="I15" s="4"/>
      <c r="J15" s="4"/>
      <c r="K15" s="4"/>
      <c r="L15" s="58">
        <v>68.97</v>
      </c>
      <c r="M15" s="59">
        <v>31.03</v>
      </c>
      <c r="N15" s="60">
        <f>L15*1/((159.69/71.844)/2)+M15</f>
        <v>93.08874732293819</v>
      </c>
      <c r="O15" s="4"/>
      <c r="P15" s="4"/>
      <c r="Q15" s="39"/>
      <c r="R15" s="39"/>
      <c r="S15" s="4"/>
      <c r="T15" s="4"/>
      <c r="U15" s="4"/>
      <c r="V15" s="39"/>
      <c r="W15" s="60"/>
      <c r="X15" s="39"/>
      <c r="Y15" s="39"/>
      <c r="Z15" s="70"/>
      <c r="AA15" s="70"/>
      <c r="AB15" s="24">
        <f t="shared" si="0"/>
        <v>0</v>
      </c>
      <c r="AC15" s="24">
        <f t="shared" si="1"/>
        <v>0</v>
      </c>
      <c r="AD15" s="24">
        <f t="shared" si="2"/>
        <v>100</v>
      </c>
      <c r="AE15" s="24"/>
      <c r="AF15" s="71">
        <f t="shared" si="67"/>
        <v>0.66666218106520991</v>
      </c>
      <c r="AG15" s="97">
        <v>0.79</v>
      </c>
      <c r="AH15" s="97">
        <f>AO15-AI15</f>
        <v>-3.4443300000000003</v>
      </c>
      <c r="AI15" s="97"/>
      <c r="AJ15" s="60"/>
      <c r="AK15" s="60"/>
      <c r="AL15" s="60"/>
      <c r="AM15" s="60"/>
      <c r="AN15" s="60"/>
      <c r="AO15" s="60">
        <f t="shared" si="3"/>
        <v>-3.4443300000000003</v>
      </c>
      <c r="AP15" s="124">
        <f t="shared" si="72"/>
        <v>100.79</v>
      </c>
      <c r="AQ15" s="126"/>
      <c r="AR15" s="126"/>
      <c r="AS15" s="140">
        <f t="shared" si="5"/>
        <v>0</v>
      </c>
      <c r="AT15" s="140">
        <f t="shared" si="6"/>
        <v>0</v>
      </c>
      <c r="AU15" s="140">
        <f t="shared" si="7"/>
        <v>23.930849827369297</v>
      </c>
      <c r="AV15" s="140">
        <f t="shared" si="8"/>
        <v>47.861632717157512</v>
      </c>
      <c r="AW15" s="140">
        <f t="shared" si="9"/>
        <v>0</v>
      </c>
      <c r="AX15" s="140">
        <f t="shared" si="10"/>
        <v>0</v>
      </c>
      <c r="AY15" s="140">
        <f t="shared" si="11"/>
        <v>0</v>
      </c>
      <c r="AZ15" s="126"/>
      <c r="BA15" s="68" t="s">
        <v>146</v>
      </c>
      <c r="BB15" s="124"/>
      <c r="BC15" s="96" t="s">
        <v>96</v>
      </c>
      <c r="BD15" s="124"/>
      <c r="BE15" s="50">
        <f t="shared" si="12"/>
        <v>100</v>
      </c>
      <c r="BF15" s="50">
        <f t="shared" si="13"/>
        <v>59.444377729744438</v>
      </c>
      <c r="BG15" s="51"/>
      <c r="BH15" s="12"/>
      <c r="BI15" s="76">
        <f t="shared" si="14"/>
        <v>0</v>
      </c>
      <c r="BJ15" s="76">
        <f t="shared" si="15"/>
        <v>0</v>
      </c>
      <c r="BK15" s="76">
        <f t="shared" si="16"/>
        <v>0</v>
      </c>
      <c r="BL15" s="76">
        <f t="shared" si="17"/>
        <v>0</v>
      </c>
      <c r="BM15" s="76">
        <f t="shared" si="18"/>
        <v>28.109700356807281</v>
      </c>
      <c r="BN15" s="77">
        <f t="shared" si="19"/>
        <v>56.222960956724144</v>
      </c>
      <c r="BO15" s="76">
        <f t="shared" si="20"/>
        <v>0</v>
      </c>
      <c r="BP15" s="76">
        <f t="shared" si="21"/>
        <v>0</v>
      </c>
      <c r="BQ15" s="76">
        <f t="shared" si="22"/>
        <v>0</v>
      </c>
      <c r="BR15" s="76">
        <f t="shared" si="23"/>
        <v>0</v>
      </c>
      <c r="BS15" s="76">
        <f t="shared" si="24"/>
        <v>0</v>
      </c>
      <c r="BT15" s="76">
        <f t="shared" si="25"/>
        <v>0</v>
      </c>
      <c r="BU15" s="76">
        <f t="shared" si="26"/>
        <v>0</v>
      </c>
      <c r="BV15" s="76">
        <f t="shared" si="27"/>
        <v>0</v>
      </c>
      <c r="BW15" s="76">
        <f t="shared" si="28"/>
        <v>0</v>
      </c>
      <c r="BX15" s="76">
        <f t="shared" si="29"/>
        <v>0</v>
      </c>
      <c r="BY15" s="78">
        <f t="shared" si="30"/>
        <v>0</v>
      </c>
      <c r="BZ15" s="76">
        <f t="shared" si="31"/>
        <v>0</v>
      </c>
      <c r="CA15" s="76">
        <f t="shared" si="32"/>
        <v>-12.44414179189349</v>
      </c>
      <c r="CB15" s="76">
        <f t="shared" si="33"/>
        <v>50.000000000000007</v>
      </c>
      <c r="CC15" s="12">
        <f t="shared" si="34"/>
        <v>59.444377729744438</v>
      </c>
      <c r="CD15" s="12">
        <f t="shared" si="35"/>
        <v>100.00000000000001</v>
      </c>
      <c r="CE15" s="12"/>
      <c r="CF15" s="67" t="str">
        <f t="shared" si="36"/>
        <v>mol % oxide O2</v>
      </c>
      <c r="CG15" s="81">
        <f t="shared" si="52"/>
        <v>0</v>
      </c>
      <c r="CH15" s="81">
        <f t="shared" si="53"/>
        <v>0</v>
      </c>
      <c r="CI15" s="81">
        <f t="shared" si="54"/>
        <v>0</v>
      </c>
      <c r="CJ15" s="81">
        <f t="shared" si="55"/>
        <v>0</v>
      </c>
      <c r="CK15" s="81">
        <f t="shared" si="56"/>
        <v>98.125104981512649</v>
      </c>
      <c r="CL15" s="81">
        <f t="shared" si="57"/>
        <v>0</v>
      </c>
      <c r="CM15" s="81">
        <f t="shared" si="58"/>
        <v>0</v>
      </c>
      <c r="CN15" s="81">
        <f t="shared" si="59"/>
        <v>0</v>
      </c>
      <c r="CO15" s="81">
        <f t="shared" si="60"/>
        <v>0</v>
      </c>
      <c r="CP15" s="81">
        <f t="shared" si="61"/>
        <v>0</v>
      </c>
      <c r="CQ15" s="81">
        <f t="shared" si="62"/>
        <v>0</v>
      </c>
      <c r="CR15" s="81">
        <f t="shared" si="63"/>
        <v>0</v>
      </c>
      <c r="CS15" s="81">
        <f t="shared" si="64"/>
        <v>0</v>
      </c>
      <c r="CT15" s="81">
        <f t="shared" si="68"/>
        <v>0</v>
      </c>
      <c r="CU15" s="81">
        <f t="shared" si="69"/>
        <v>0</v>
      </c>
      <c r="CV15" s="81">
        <f t="shared" si="70"/>
        <v>0</v>
      </c>
      <c r="CW15" s="81">
        <f t="shared" si="71"/>
        <v>0</v>
      </c>
      <c r="CX15" s="81">
        <f t="shared" si="65"/>
        <v>-14.479179107569633</v>
      </c>
      <c r="CY15" s="81">
        <f t="shared" si="66"/>
        <v>16.354074126056979</v>
      </c>
      <c r="CZ15" s="81"/>
      <c r="DA15" s="67" t="s">
        <v>280</v>
      </c>
      <c r="DB15" s="60">
        <f t="shared" si="37"/>
        <v>0</v>
      </c>
      <c r="DC15" s="60">
        <f t="shared" si="38"/>
        <v>0</v>
      </c>
      <c r="DD15" s="67">
        <f t="shared" si="39"/>
        <v>0</v>
      </c>
      <c r="DE15" s="67">
        <f t="shared" si="40"/>
        <v>0</v>
      </c>
      <c r="DF15" s="94">
        <f t="shared" si="51"/>
        <v>84.332661313531418</v>
      </c>
      <c r="DG15" s="94">
        <f t="shared" si="41"/>
        <v>0</v>
      </c>
      <c r="DH15" s="95">
        <f t="shared" si="42"/>
        <v>0</v>
      </c>
      <c r="DI15" s="94">
        <f t="shared" si="43"/>
        <v>0</v>
      </c>
      <c r="DJ15" s="94">
        <f t="shared" si="44"/>
        <v>0</v>
      </c>
      <c r="DK15" s="94">
        <f t="shared" si="45"/>
        <v>0</v>
      </c>
      <c r="DL15" s="94">
        <f t="shared" si="46"/>
        <v>0</v>
      </c>
      <c r="DM15" s="94">
        <f t="shared" si="47"/>
        <v>0</v>
      </c>
      <c r="DN15" s="94">
        <f t="shared" si="48"/>
        <v>0</v>
      </c>
      <c r="DO15" s="94">
        <f t="shared" si="49"/>
        <v>-12.44414179189349</v>
      </c>
      <c r="DP15" s="94">
        <f t="shared" si="50"/>
        <v>100.00000000000001</v>
      </c>
    </row>
    <row r="16" spans="1:120" s="28" customFormat="1" ht="16" customHeight="1">
      <c r="A16" s="39"/>
      <c r="B16" s="57"/>
      <c r="C16" s="57"/>
      <c r="D16" s="67"/>
      <c r="E16" s="67"/>
      <c r="F16" s="67"/>
      <c r="G16" s="67"/>
      <c r="H16" s="60"/>
      <c r="I16" s="60"/>
      <c r="J16" s="60"/>
      <c r="K16" s="60"/>
      <c r="L16" s="69"/>
      <c r="M16" s="59"/>
      <c r="N16" s="60"/>
      <c r="O16" s="60"/>
      <c r="P16" s="60"/>
      <c r="Q16" s="60"/>
      <c r="R16" s="60"/>
      <c r="S16" s="60"/>
      <c r="T16" s="60"/>
      <c r="U16" s="70"/>
      <c r="V16" s="70"/>
      <c r="W16" s="70"/>
      <c r="X16" s="70"/>
      <c r="Y16" s="70"/>
      <c r="Z16" s="70"/>
      <c r="AA16" s="70"/>
      <c r="AB16" s="72"/>
      <c r="AC16" s="72"/>
      <c r="AD16" s="24"/>
      <c r="AE16" s="24"/>
      <c r="AF16" s="73"/>
      <c r="AG16" s="67"/>
      <c r="AH16" s="97"/>
      <c r="AI16" s="67"/>
      <c r="AJ16" s="67"/>
      <c r="AK16" s="67"/>
      <c r="AL16" s="67"/>
      <c r="AM16" s="67"/>
      <c r="AN16" s="67"/>
      <c r="AO16" s="60"/>
      <c r="AP16" s="124"/>
      <c r="AQ16" s="126"/>
      <c r="AR16" s="126"/>
      <c r="AS16" s="140"/>
      <c r="AT16" s="140"/>
      <c r="AU16" s="140"/>
      <c r="AV16" s="140"/>
      <c r="AW16" s="140"/>
      <c r="AX16" s="140"/>
      <c r="AY16" s="140"/>
      <c r="AZ16" s="126"/>
      <c r="BA16" s="68"/>
      <c r="BB16" s="124"/>
      <c r="BC16" s="96"/>
      <c r="BD16" s="124"/>
      <c r="BE16" s="50"/>
      <c r="BF16" s="50"/>
      <c r="BG16" s="51"/>
      <c r="BH16" s="12"/>
      <c r="BI16" s="76"/>
      <c r="BJ16" s="76"/>
      <c r="BK16" s="76"/>
      <c r="BL16" s="76"/>
      <c r="BM16" s="76"/>
      <c r="BN16" s="77"/>
      <c r="BO16" s="76"/>
      <c r="BP16" s="76"/>
      <c r="BQ16" s="76"/>
      <c r="BR16" s="76"/>
      <c r="BS16" s="76"/>
      <c r="BT16" s="76"/>
      <c r="BU16" s="76"/>
      <c r="BV16" s="76"/>
      <c r="BW16" s="76"/>
      <c r="BX16" s="76"/>
      <c r="BY16" s="78"/>
      <c r="BZ16" s="76"/>
      <c r="CA16" s="76"/>
      <c r="CB16" s="76"/>
      <c r="CC16" s="12"/>
      <c r="CD16" s="12"/>
      <c r="CE16" s="12"/>
      <c r="CF16" s="67"/>
      <c r="CG16" s="81"/>
      <c r="CH16" s="81"/>
      <c r="CI16" s="81"/>
      <c r="CJ16" s="81"/>
      <c r="CK16" s="81"/>
      <c r="CL16" s="81"/>
      <c r="CM16" s="81"/>
      <c r="CN16" s="81"/>
      <c r="CO16" s="81"/>
      <c r="CP16" s="81"/>
      <c r="CQ16" s="81"/>
      <c r="CR16" s="81"/>
      <c r="CS16" s="81"/>
      <c r="CT16" s="81"/>
      <c r="CU16" s="81"/>
      <c r="CV16" s="81"/>
      <c r="CW16" s="81"/>
      <c r="CX16" s="81"/>
      <c r="CY16" s="81"/>
      <c r="CZ16" s="81"/>
      <c r="DA16" s="67"/>
      <c r="DB16" s="60"/>
      <c r="DC16" s="60"/>
      <c r="DD16" s="67"/>
      <c r="DE16" s="67"/>
      <c r="DF16" s="94"/>
      <c r="DG16" s="94"/>
      <c r="DH16" s="95"/>
      <c r="DI16" s="94"/>
      <c r="DJ16" s="94"/>
      <c r="DK16" s="94"/>
      <c r="DL16" s="94"/>
      <c r="DM16" s="94"/>
      <c r="DN16" s="94"/>
      <c r="DO16" s="94"/>
      <c r="DP16" s="94"/>
    </row>
    <row r="17" spans="1:120" s="28" customFormat="1" ht="16" customHeight="1">
      <c r="A17" s="39"/>
      <c r="B17" s="57"/>
      <c r="C17" s="57" t="s">
        <v>258</v>
      </c>
      <c r="D17" s="67"/>
      <c r="E17" s="67"/>
      <c r="F17" s="67"/>
      <c r="G17" s="67"/>
      <c r="H17" s="60">
        <v>39.450000000000003</v>
      </c>
      <c r="I17" s="60"/>
      <c r="J17" s="60">
        <v>2.58</v>
      </c>
      <c r="K17" s="60">
        <v>0.41799999999999998</v>
      </c>
      <c r="L17" s="69">
        <v>5.85</v>
      </c>
      <c r="M17" s="59">
        <v>2.39</v>
      </c>
      <c r="N17" s="60">
        <f>L17*1/((159.69/71.844)/2)+M17</f>
        <v>7.6537910952470405</v>
      </c>
      <c r="O17" s="60"/>
      <c r="P17" s="60">
        <v>37.369999999999997</v>
      </c>
      <c r="Q17" s="60"/>
      <c r="R17" s="60"/>
      <c r="S17" s="60">
        <v>0.27</v>
      </c>
      <c r="T17" s="60"/>
      <c r="U17" s="70"/>
      <c r="V17" s="70"/>
      <c r="W17" s="70"/>
      <c r="X17" s="70"/>
      <c r="Y17" s="70"/>
      <c r="Z17" s="60">
        <v>11.43</v>
      </c>
      <c r="AA17" s="70"/>
      <c r="AB17" s="86">
        <v>0</v>
      </c>
      <c r="AC17" s="86">
        <v>0</v>
      </c>
      <c r="AD17" s="86">
        <v>100</v>
      </c>
      <c r="AE17" s="86"/>
      <c r="AF17" s="71">
        <f t="shared" ref="AF17:AF22" si="73">IF(M17&lt;&gt;"",2*L17/159.69/(N17/71.844),0)</f>
        <v>0.6877364471726729</v>
      </c>
      <c r="AG17" s="97">
        <v>11.43</v>
      </c>
      <c r="AH17" s="97">
        <f>AO17-AI17</f>
        <v>11.164709999999999</v>
      </c>
      <c r="AI17" s="97"/>
      <c r="AJ17" s="97"/>
      <c r="AK17" s="97"/>
      <c r="AL17" s="97"/>
      <c r="AM17" s="97"/>
      <c r="AN17" s="97"/>
      <c r="AO17" s="60">
        <f t="shared" ref="AO17:AO22" si="74">Z17-M17*0.111+AL17/10000*0.7484 +AM17/10000*0.3742</f>
        <v>11.164709999999999</v>
      </c>
      <c r="AP17" s="124">
        <f t="shared" ref="AP17:AP22" si="75">IF(M17&lt;&gt;"",SUM(P17,H17,J17,O17,M17,L17,Q17,R17,S17,I17,K17,AG17,AI17,T17,U17,X17,Y17,AB17,AC17,W17,V17),
IF(M17="",SUM(P17,H17,J17,O17,N17,Q17,R17,S17,I17,K17,AG17,AI17,T17,U17,X17,Y17,AB17,AC17,W17,V17),
))</f>
        <v>99.757999999999981</v>
      </c>
      <c r="AQ17" s="126"/>
      <c r="AR17" s="126"/>
      <c r="AS17" s="140">
        <f t="shared" ref="AS17:AS22" si="76">AJ17</f>
        <v>0</v>
      </c>
      <c r="AT17" s="140">
        <f t="shared" ref="AT17:AT22" si="77">AI17*(12.011/(12.011+2*15.999))*100/AP17</f>
        <v>0</v>
      </c>
      <c r="AU17" s="140">
        <f t="shared" ref="AU17:AU22" si="78">IF(M17="",N17*(55.845/(55.845+15.999))*100/AP17,M17*(55.845/(55.845+15.999))*100/AP17)</f>
        <v>1.8622756229922752</v>
      </c>
      <c r="AV17" s="140">
        <f t="shared" ref="AV17:AV22" si="79">L17*(2*55.845/(2*55.845+3*15.999))*100/AP17</f>
        <v>4.1015958162234547</v>
      </c>
      <c r="AW17" s="140">
        <f t="shared" ref="AW17:AW22" si="80">AL17/10000*100/AP17</f>
        <v>0</v>
      </c>
      <c r="AX17" s="140">
        <f t="shared" ref="AX17:AX22" si="81">AM17/10000*100/AP17</f>
        <v>0</v>
      </c>
      <c r="AY17" s="140">
        <f t="shared" ref="AY17:AY22" si="82">AN17/10000*100/AP17</f>
        <v>0</v>
      </c>
      <c r="AZ17" s="126"/>
      <c r="BA17" s="68" t="s">
        <v>146</v>
      </c>
      <c r="BB17" s="124"/>
      <c r="BC17" s="96" t="s">
        <v>302</v>
      </c>
      <c r="BD17" s="124"/>
      <c r="BE17" s="50" t="str">
        <f t="shared" ref="BE17:BE22" si="83">IF(AND(BC17="Anions",BA17="Amph"),23,
IF(AND(BC17="Cations",BA17="Amph"),CD17,
IF(AND(BC17="Anions",BA17="Mica"),11,
IF(AND(BC17="Cations",BA17="Mica"),CD17,
IF(AND(BC17="Anions",BA17="Ti-Chu"),17.5,
IF(AND(BC17="Cations",BA17="Ti-Chu"),CD17,
IF(AND(BC17="Anions",BA17="F-Ph"),11.5,
IF(AND(BC17="Cations",BA17="F-Ph"),CD17,
IF(AND(BC17="Anions",BA17="Pl"),8,
IF(AND(BC17="Cations",BA17="Pl"),CD17,
IF(AND(BC17="Anions",BA17="Dol"),2,
IF(AND(BC17="Cations",BA17="Dol"),CD17,
IF(AND(BC17="Anions",BA17="Cb"),1,
IF(AND(BC17="Cations",BA17="Cb"),CD17,
IF(AND(BC17="Anions",BA17="Br"),1,
IF(AND(BC17="Cations",BA17="Br"),CD17,
IF(AND(BC17="Anions",BA17="Liz"),7,
IF(AND(BC17="Cations",BA17="Liz"),CD17,
IF(AND(BC17="Anions",BA17="Ep"),12.5,
IF(AND(BC17="Cations",BA17="Ep"),CD17,
IF(AND(BC17="Anions",BA17="Chum"),17,
IF(AND(BC17="Cations",BA17="Chum"),CD17,
IF(AND(BC17="Anions",BA17="Ol"),4,
IF(AND(BC17="Cations",BA17="Ol"),CD17,
IF(AND(BC17="Anions",BA17="Opx"),6,
IF(AND(BC17="Cations",BA17="Opx"),CD17,
IF(AND(BC17="Anions",BA17="Tlc"),11,
IF(AND(BC17="Cations",BA17="Tlc"),CD17,
IF(AND(BC17="Anions",BA17="Tr"),23,
IF(AND(BC17="Cations",BA17="Tr"),CD17,
IF(AND(BC17="Anions",BA17="Atg"),6.824,
IF(AND(BC17="Cations",BA17="Atg"),CD17,
IF(AND(BC17="Anions",BA17="Chl"),14,
IF(AND(BC17="Cations",BA17="Chl"),CD17,
IF(AND(BC17="Anions",BA17="Cpx"),6,
IF(AND(BC17="Cations",BA17="Cpx"),CD17,
IF(AND(BC17="both",BA17="Cpx"),6,
IF(AND(BC17="Anions",BA17="Grt"),12,
IF(AND(BC17="Cations",BA17="Grt"),CD17,
IF(AND(BC17="both",BA17="Grt"),12,
IF(AND(BC17="Anions",BA17="Mag"),4,
IF(AND(BC17="Cations",BA17="Mag"),CD17,
IF(AND(BC17="both",BA17="Mag"),4,
IF(AND(BC17="Anions",BA17="Ti-Cho"),9.5,
IF(AND(BC17="Cations",BA17="Ti-Cho"),CD17,
IF(AND(BC17="Anions",BA17="Ilv"),8.5,
IF(AND(BC17="Cations",BA17="Ilv"),CD17,
IF(AND(BC17="both",BA17="Ilv"),8.5,
IF(AND(BC17="Anions",BA17="Hem"),3,
IF(AND(BC17="Cations",BA17="Hem"),CD17,
IF(AND(BC17="both",BA17="Hem"),3,
IF(AND(BC17="Anions",BA17="WR"),100,
IF(AND(BC17="mol/kg",BA17="WR"),"",
IF(AND(BC17="Cations",BA17="WR"),CD17
)))))))))))))))))))))))))))))))))))))))))))))))))))
)))</f>
        <v/>
      </c>
      <c r="BF17" s="50" t="str">
        <f t="shared" ref="BF17:BF22" si="84">IF(AND(BC17="Anions",BA17="Amph"),CC17,
IF(AND(BC17="Cations",BA17="Amph"),15,
IF(AND(BC17="Anions",BA17="Mica"),CC17,
IF(AND(BC17="Cations",BA17="Mica"),7,
IF(AND(BC17="Anions",BA17="Ti-Chu"),CC17,
IF(AND(BC17="Cations",BA17="Ti-Chu"),13,
IF(AND(BC17="Anions",BA17="F-Ph"),CC17,
IF(AND(BC17="Cations",BA17="F-Ph"),8,
IF(AND(BC17="Anions",BA17="Pl"),CC17,
IF(AND(BC17="Cations",BA17="Pl"),5,
IF(AND(BC17="Anions",BA17="Dol"),CC17,
IF(AND(BC17="Cations",BA17="Dol"),2,
IF(AND(BC17="Anions",BA17="Cb"),CC17,
IF(AND(BC17="Cations",BA17="Cb"),1,
IF(AND(BC17="Anions",BA17="Br"),CC17,
IF(AND(BC17="Cations",BA17="Br"),1,
IF(AND(BC17="Anions",BA17="Liz"),CC17,
IF(AND(BC17="Cations",BA17="Liz"),5,
IF(AND(BC17="Anions",BA17="Ep"),CC17,
IF(AND(BC17="Cations",BA17="Ep"),8,
IF(AND(BC17="Anions",BA17="Chum"),CC17,
IF(AND(BC17="Cations",BA17="Chum"),13,
IF(AND(BC17="Anions",BA17="Ol"),CC17,
IF(AND(BC17="Cations",BA17="Ol"),3,
IF(AND(BC17="Anions",BA17="Opx"),CC17,
IF(AND(BC17="Cations",BA17="Opx"),4,
IF(AND(BC17="Anions",BA17="Tlc"),CC17,
IF(AND(BC17="Cations",BA17="Tlc"),7,
IF(AND(BC17="Anions",BA17="Tr"),CC17,
IF(AND(BC17="Cations",BA17="Tr"),15,
IF(AND(BC17="Anions",BA17="Atg"),CC17,
IF(AND(BC17="Cations",BA17="Atg"),4.825,
IF(AND(BC17="Anions",BA17="Chl"),CC17,
IF(AND(BC17="Cations",BA17="Chl"),10,
IF(AND(BC17="Anions",BA17="Cpx"),CC17,
IF(AND(BC17="Cations",BA17="Cpx"),4,
IF(AND(BC17="both",BA17="Cpx"),4,
IF(AND(BC17="Anions",BA17="Grt"),CC17,
IF(AND(BC17="Cations",BA17="Grt"),8,
IF(AND(BC17="both",BA17="Grt"),8,
IF(AND(BC17="Anions",BA17="Mag"),CC17,
IF(AND(BC17="Cations",BA17="Mag"),3,
IF(AND(BC17="both",BA17="Mag"),3,
IF(AND(BC17="Anions",BA17="Ti-Cho"),CC17,
IF(AND(BC17="Cations",BA17="Ti-Cho"),7,
IF(AND(BC17="Anions",BA17="Ilv"),CC17,
IF(AND(BC17="Cations",BA17="Ilv"),6,
IF(AND(BC17="both",BA17="Ilv"),6,
IF(AND(BC17="Anions",BA17="Hem"),CC17,
IF(AND(BC17="Cations",BA17="Hem"),2,
IF(AND(BC17="both",BA17="Hem"),2,
IF(AND(BC17="Anions",BA17="WR"),CC17,
IF(AND(BC17="mol/kg",BA17="WR"),"",
IF(AND(BC17="Cations",BA17="WR"),100,
))))))))))))))))))))))))))))))))))))))))))))))))
))))))</f>
        <v/>
      </c>
      <c r="BG17" s="51"/>
      <c r="BH17" s="12"/>
      <c r="BI17" s="76">
        <f t="shared" ref="BI17:BI22" si="85">IF(AND(M17&lt;&gt;"",BC17="Anions"),H17/60.08*BE17/(H17*2/60.08+I17*2/79.88+J17*3/101.96+K17*3/151.99+L17*3/159.69+M17/71.85+O17/70.94+P17/40.3+Q17/74.69+R17/81.38+S17/56.08+T17/61.98+U17/94.2+V17*5/141.944522+W17*3/80.06+X17/18.9984+Y17/35.453+AI17/44.01*2-AS17/12.011-AW17/32.065-2*AX17/32.065+AY17*3/32.065+AH17/18.01528),
IF(AND(M17&lt;&gt;"",BC17="mol/kg"),H17/60.08*10*100/AP17,
IF(AND(M17="",BC17="mol/kg"),H17/60.08*10*100/AP17,
IF(AND(M17="",BC17="Anions"),H17/60.08*BE17/(H17*2/60.08+I17*2/79.88+J17*3/101.96+K17*3/151.99+L17*3/159.69+N17/71.85+O17/70.94+P17/40.3+Q17/74.69+R17/81.38+S17/56.08+T17/61.98+U17/94.2+V17*5/141.944522+W17*3/80.06+X17/18.9984+Y17/35.453+AI17/44.01*2-AS17/12.011-AW17/32.065-2*AX17/32.065+AY17*3/32.065+AH17/18.01528),
))))</f>
        <v>6.5821738674169401</v>
      </c>
      <c r="BJ17" s="76">
        <f t="shared" ref="BJ17:BJ22" si="86">IF(AND(M17&lt;&gt;"",BC17="Anions"),I17/79.88*BE17/(H17*2/60.08+I17*2/79.88+J17*3/101.96+K17*3/151.99+L17*3/159.69+M17/71.85+O17/70.94+P17/40.3+Q17/74.69+R17/81.38+S17/56.08+T17/61.98+U17/94.2+V17*5/141.944522+W17*3/80.06+X17/18.9984+Y17/35.453+AI17/44.01*2-AS17/12.011-AW17/32.065-2*AX17/32.065+AY17*3/32.065+AH17/18.01528),
IF(AND(M17&lt;&gt;"",BC17="mol/kg"),I17/79.88*10*100/AP17,
IF(AND(M17="",BC17="mol/kg"),I17/79.88*10*100/AP17,
IF(AND(M17="",BC17="Anions"),I17/79.88*BE17/(H17*2/60.08+I17*2/79.88+J17*3/101.96+K17*3/151.99+L17*3/159.69+N17/71.85+O17/70.94+P17/40.3+Q17/74.69+R17/81.38+S17/56.08+T17/61.98+U17/94.2+V17*5/141.944522+W17*3/80.06+X17/18.9984+Y17/35.453+AI17/44.01*2-AS17/12.011-AW17/32.065-2*AX17/32.065+AY17*3/32.065+AH17/18.01528),
))))</f>
        <v>0</v>
      </c>
      <c r="BK17" s="76">
        <f t="shared" ref="BK17:BK22" si="87">IF(AND(M17&lt;&gt;"",BC17="Anions"),2*J17/101.96*BE17/(H17*2/60.08+I17*2/79.88+J17*3/101.96+K17*3/151.99+L17*3/159.69+M17/71.85+O17/70.94+P17/40.3+Q17/74.69+R17/81.38+S17/56.08+T17/61.98+U17/94.2+V17*5/141.944522+W17*3/80.06+X17/18.9984+Y17/35.453+AI17/44.01*2-AS17/12.011-AW17/32.065-2*AX17/32.065+AY17*3/32.065+AH17/18.01528),
IF(AND(M17&lt;&gt;"",BC17="mol/kg"),2*J17/101.96*10*100/AP17,
IF(AND(M17="",BC17="mol/kg"),2*J17/101.96*10*100/AP17,
IF(AND(M17="",BC17="Anions"),2*J17/101.96*BE17/(H17*2/60.08+I17*2/79.88+J17*3/101.96+K17*3/151.99+L17*3/159.69+N17/71.85+O17/70.94+P17/40.3+Q17/74.69+R17/81.38+S17/56.08+T17/61.98+U17/94.2+V17*5/141.944522+W17*3/80.06+X17/18.9984+Y17/35.453+AI17/44.01*2-AS17/12.011-AW17/32.065-2*AX17/32.065+AY17*3/32.065+AH17/18.01528),
))))</f>
        <v>0.5073085025825268</v>
      </c>
      <c r="BL17" s="76">
        <f t="shared" ref="BL17:BL22" si="88">IF(AND(M17&lt;&gt;"",BC17="Anions"),2*K17/151.99*BE17/(H17*2/60.08+I17*2/79.88+J17*3/101.96+K17*3/151.99+L17*3/159.69+M17/71.85+O17/70.94+P17/40.3+Q17/74.69+R17/81.38+S17/56.08+T17/61.98+U17/94.2+V17*5/141.944522+W17*3/80.06+X17/18.9984+Y17/35.453+AI17/44.01*2-AS17/12.011-AW17/32.065-2*AX17/32.065+AY17*3/32.065+AH17/18.01528),
IF(AND(M17&lt;&gt;"",BC17="mol/kg"),2*K17/151.99*10*100/AP17,
IF(AND(M17="",BC17="mol/kg"),2*K17/151.99*10*100/AP17,
IF(AND(M17="",BC17="Anions"),2*K17/151.99*BE17/(H17*2/60.08+I17*2/79.88+J17*3/101.96+K17*3/151.99+L17*3/159.69+N17/71.85+O17/70.94+P17/40.3+Q17/74.69+R17/81.38+S17/56.08+T17/61.98+U17/94.2+V17*5/141.944522+W17*3/80.06+X17/18.9984+Y17/35.453+AI17/44.01*2-AS17/12.011-AW17/32.065-2*AX17/32.065+AY17*3/32.065+AH17/18.01528),
))))</f>
        <v>5.5137050320898891E-2</v>
      </c>
      <c r="BM17" s="76">
        <f t="shared" ref="BM17:BM22" si="89">IF(AND(M17&lt;&gt;"",BC17="Anions"),M17/71.85*BE17/(H17*2/60.08+I17*2/79.88+J17*3/101.96+K17*3/151.99+L17*3/159.69+M17/71.85+O17/70.94+P17/40.3+Q17/74.69+R17/81.38+S17/56.08+T17/61.98+U17/94.2+V17*5/141.944522+W17*3/80.06+X17/18.9984+Y17/35.453+AI17/44.01*2-AS17/12.011-AW17/32.065-2*AX17/32.065+AY17*3/32.065+AH17/18.01528),
IF(AND(M17&lt;&gt;"",BC17="mol/kg"),(M17/71.85+L17*2/159.69)*10*100/AP17,
IF(AND(M17="",BC17="mol/kg"),(N17/71.85)*10*100/AP17,
IF(AND(M17="",BC17="Anions"),N17/71.85*BE17/(H17*2/60.08+I17*2/79.88+J17*3/101.96+K17*3/151.99+L17*3/159.69+N17/71.85+O17/70.94+P17/40.3+Q17/74.69+R17/81.38+S17/56.08+T17/61.98+U17/94.2+V17*5/141.944522+W17*3/80.06+X17/18.9984+Y17/35.453+AI17/44.01*2-AS17/12.011-AW17/32.065-2*AX17/32.065+AY17*3/32.065+AH17/18.01528),
))))</f>
        <v>1.0678912832625436</v>
      </c>
      <c r="BN17" s="77" t="str">
        <f t="shared" ref="BN17:BN22" si="90">IF(AND(M17&lt;&gt;"",BC17="Anions"),L17*2/159.69*BE17/(H17*2/60.08+I17*2/79.88+J17*3/101.96+K17*3/151.99+L17*3/159.69+M17/71.85+O17/70.94+P17/40.3+Q17/74.69+R17/81.38+S17/56.08+T17/61.98+U17/94.2+V17*5/141.944522+W17*3/80.06+X17/18.9984+Y17/35.453+AI17/44.01*2-AS17/12.011-AW17/32.065-2*AX17/32.065+AY17*3/32.065+AH17/18.01528),
IF(AND(M17&lt;&gt;"",BC17="mol/kg"),"-",
IF(AND(M17="",BC17="mol/kg"),"-",
IF(AND(M17="",BC17="Anions"),L17*2/159.69*BE17/(H17*2/60.08+I17*2/79.88+J17*3/101.96+K17*3/151.99+L17*3/159.69+N17/71.85+O17/70.94+P17/40.3+Q17/74.69+R17/81.38+S17/56.08+T17/61.98+U17/94.2+V17*5/141.944522+W17*3/80.06+X17/18.9984+Y17/35.453+AI17/44.01*2-AS17/12.011-AW17/32.065-2*AX17/32.065+AY17*3/32.065+AH17/18.01528),
))))</f>
        <v>-</v>
      </c>
      <c r="BO17" s="76">
        <f t="shared" ref="BO17:BO22" si="91">IF(AND(M17&lt;&gt;"",BC17="Anions"),O17/70.94*BE17/(H17*2/60.08+I17*2/79.88+J17*3/101.96+K17*3/151.99+L17*3/159.69+M17/71.85+O17/70.94+P17/40.3+Q17/74.69+R17/81.38+S17/56.08+T17/61.98+U17/94.2+V17*5/141.944522+W17*3/80.06+X17/18.9984+Y17/35.453+AI17/44.01*2-AS17/12.011-AW17/32.065-2*AX17/32.065+AY17*3/32.065+AH17/18.01528),
IF(AND(M17&lt;&gt;"",BC17="mol/kg"),O17/70.94*10*100/AP17,
IF(AND(M17="",BC17="mol/kg"),O17/70.94*10*100/AP17,
IF(AND(M17="",BC17="Anions"),O17/70.94*BE17/(H17*2/60.08+I17*2/79.88+J17*3/101.96+K17*3/151.99+L17*3/159.69+N17/71.85+O17/70.94+P17/40.3+Q17/74.69+R17/81.38+S17/56.08+T17/61.98+U17/94.2+V17*5/141.944522+W17*3/80.06+X17/18.9984+Y17/35.453+AI17/44.01*2-AS17/12.011-AW17/32.065-2*AX17/32.065+AY17*3/32.065+AH17/18.01528),
))))</f>
        <v>0</v>
      </c>
      <c r="BP17" s="76">
        <f t="shared" ref="BP17:BP22" si="92">IF(AND(M17&lt;&gt;"",BC17="Anions"),P17/40.3*BE17/(H17*2/60.08+I17*2/79.88+J17*3/101.96+K17*3/151.99+L17*3/159.69+M17/71.85+O17/70.94+P17/40.3+Q17/74.69+R17/81.38+S17/56.08+T17/61.98+U17/94.2+V17*5/141.944522+W17*3/80.06+X17/18.9984+Y17/35.453+AI17/44.01*2-AS17/12.011-AW17/32.065-2*AX17/32.065+AY17*3/32.065+AH17/18.01528),
IF(AND(M17&lt;&gt;"",BC17="mol/kg"),P17/40.3*10*100/AP17,
IF(AND(M17="",BC17="mol/kg"),P17/40.3*10*100/AP17,
IF(AND(M17="",BC17="Anions"),P17/40.3*BE17/(H17*2/60.08+I17*2/79.88+J17*3/101.96+K17*3/151.99+L17*3/159.69+N17/71.85+O17/70.94+P17/40.3+Q17/74.69+R17/81.38+S17/56.08+T17/61.98+U17/94.2+V17*5/141.944522+W17*3/80.06+X17/18.9984+Y17/35.453+AI17/44.01*2-AS17/12.011-AW17/32.065-2*AW17/32.065+AW17*3/32.065+AH17/18.01528),
))))</f>
        <v>9.2954478373644367</v>
      </c>
      <c r="BQ17" s="76">
        <f t="shared" ref="BQ17:BQ22" si="93">IF(AND(M17&lt;&gt;"",BC17="Anions"),Q17/74.69*BE17/(H17*2/60.08+I17*2/79.88+J17*3/101.96+K17*3/151.99+L17*3/159.69+M17/71.85+O17/70.94+P17/40.3+Q17/74.69+R17/81.38+S17/56.08+T17/61.98+U17/94.2+V17*5/141.944522+W17*3/80.06+X17/18.9984+Y17/35.453+AI17/44.01*2-AS17/12.011-AW17/32.065-2*AX17/32.065+AY17*3/32.065+AH17/18.01528),
IF(AND(M17&lt;&gt;"",BC17="mol/kg"),Q17/74.69*10*100/AP17,
IF(AND(M17="",BC17="mol/kg"),Q17/74.69*10*100/AP17,
IF(AND(M17="",BC17="Anions"),Q17/74.69*BE17/(H17*2/60.08+I17*2/79.88+J17*3/101.96+K17*3/151.99+L17*3/159.69+N17/71.85+O17/70.94+P17/40.3+Q17/74.69+R17/81.38+S17/56.08+T17/61.98+U17/94.2+V17*5/141.944522+W17*3/80.06+X17/18.9984+Y17/35.453+AI17/44.01*2-AS17/12.011-AW17/32.065-2*AX17/32.065+AY17*3/32.065+AH17/18.01528),
))))</f>
        <v>0</v>
      </c>
      <c r="BR17" s="76">
        <f t="shared" ref="BR17:BR22" si="94">IF(AND(M17&lt;&gt;"",BC17="Anions"),R17/81.38*BE17/(H17*2/60.08+I17*2/79.88+J17*3/101.96+K17*3/151.99+L17*3/159.69+M17/71.85+O17/70.94+P17/40.3+Q17/74.69+R17/81.38+S17/56.08+T17/61.98+U17/94.2+V17*5/141.944522+W17*3/80.06+X17/18.9984+Y17/35.453+AI17/44.01*2-AS17/12.011-AW17/32.065-2*AX17/32.065+AY17*3/32.065+AH17/18.01528),
IF(AND(M17&lt;&gt;"",BC17="mol/kg"),R17/81.38*10*100/AP17,
IF(AND(M17="",BC17="mol/kg"),R17/81.38*10*100/AP17,
IF(AND(M17="",BC17="Anions"),R17/81.38*BE17/(H17*2/60.08+I17*2/79.88+J17*3/101.96+K17*3/151.99+L17*3/159.69+N17/71.85+O17/70.94+P17/40.3+Q17/74.69+R17/81.38+S17/56.08+T17/61.98+U17/94.2+V17*5/141.944522+W17*3/80.06+X17/18.9984+Y17/35.453+AI17/44.01*2-AS17/12.011-AW17/32.065-2*AX17/32.065+AY17*3/32.065+AH17/18.01528),
))))</f>
        <v>0</v>
      </c>
      <c r="BS17" s="76">
        <f t="shared" ref="BS17:BS22" si="95">IF(AND(M17&lt;&gt;"",BC17="Anions"),S17/56.08*BE17/(H17*2/60.08+I17*2/79.88+J17*3/101.96+K17*3/151.99+L17*3/159.69+M17/71.85+O17/70.94+P17/40.3+Q17/74.69+R17/81.38+S17/56.08+T17/61.98+U17/94.2+V17*5/141.944522+W17*3/80.06+X17/18.9984+Y17/35.453+AI17/44.01*2-AS17/12.011-AW17/32.065-2*AX17/32.065+AY17*3/32.065+AH17/18.01528),
IF(AND(M17&lt;&gt;"",BC17="mol/kg"),S17/56.08*10*100/AP17,
IF(AND(M17="",BC17="mol/kg"),S17/56.08*10*100/AP17,
IF(AND(M17="",BC17="Anions"),S17/56.08*BE17/(H17*2/60.08+I17*2/79.88+J17*3/101.96+K17*3/151.99+L17*3/159.69+N17/71.85+O17/70.94+P17/40.3+Q17/74.69+R17/81.38+S17/56.08+T17/61.98+U17/94.2+V17*5/141.944522+W17*3/80.06+X17/18.9984+Y17/35.453+AI17/44.01*2-AS17/12.011-AW17/32.065-2*AW17/32.065+AW17*3/32.065+AH17/18.01528),
))))</f>
        <v>4.8262301188276492E-2</v>
      </c>
      <c r="BT17" s="76">
        <f t="shared" ref="BT17:BT22" si="96">IF(AND(M17&lt;&gt;"",BC17="Anions"),2*T17/61.98*BE17/(H17*2/60.08+I17*2/79.88+J17*3/101.96+K17*3/151.99+L17*3/159.69+M17/71.85+O17/70.94+P17/40.3+Q17/74.69+R17/81.38+S17/56.08+T17/61.98+U17/94.2+V17*5/141.944522+W17*3/80.06+X17/18.9984+Y17/35.453+AI17/44.01*2-AS17/12.011-AW17/32.065-2*AX17/32.065+AY17*3/32.065+AH17/18.01528),
IF(AND(M17&lt;&gt;"",BC17="mol/kg"),2*T17/61.98*10*100/AP17,
IF(AND(M17="",BC17="mol/kg"),2*T17/61.98*10*100/AP17,
IF(AND(M17="",BC17="Anions"),2*T17/61.98*BE17/(H17*2/60.08+I17*2/79.88+J17*3/101.96+K17*3/151.99+L17*3/159.69+N17/71.85+O17/70.94+P17/40.3+Q17/74.69+R17/81.38+S17/56.08+T17/61.98+U17/94.2+V17*5/141.944522+W17*3/80.06+X17/18.9984+Y17/35.453+AI17/44.01*2-AS17/12.011-AW17/32.065-2*AX17/32.065+AY17*3/32.065+AH17/18.01528),
))))</f>
        <v>0</v>
      </c>
      <c r="BU17" s="76">
        <f t="shared" ref="BU17:BU22" si="97">IF(AND(M17&lt;&gt;"",BC17="Anions"),2*U17/94.2*BE17/(H17*2/60.08+I17*2/79.88+J17*3/101.96+K17*3/151.99+L17*3/159.69+M17/71.85+O17/70.94+P17/40.3+Q17/74.69+R17/81.38+S17/56.08+T17/61.98+U17/94.2+V17*5/141.944522+W17*3/80.06+X17/18.9984+Y17/35.453+AI17/44.01*2-AS17/12.011-AW17/32.065-2*AX17/32.065+AY17*3/32.065+AH17/18.01528),
IF(AND(M17&lt;&gt;"",BC17="mol/kg"),2*U17/94.2*10*100/AP17,
IF(AND(M17="",BC17="mol/kg"),2*U17/94.2*10*100/AP17,
IF(AND(M17="",BC17="Anions"),2*U17/94.2*BE17/(H17*2/60.08+I17*2/79.88+J17*3/101.96+K17*3/151.99+L17*3/159.69+N17/71.85+O17/70.94+P17/40.3+Q17/74.69+R17/81.38+S17/56.08+T17/61.98+U17/94.2+V17*5/141.944522+W17*3/80.06+X17/18.9984+Y17/35.453+AI17/44.01*2-AS17/12.011-AW17/32.065-2*AX17/32.065+AY17*3/32.065+AH17/18.01528),
))))</f>
        <v>0</v>
      </c>
      <c r="BV17" s="76">
        <f t="shared" ref="BV17:BV22" si="98">IF(AND(M17&lt;&gt;"",BC17="Anions"),V17*2/141.944522*BE17/(H17*2/60.08+I17*2/79.88+J17*3/101.96+K17*3/151.99+L17*3/159.69+M17/71.85+O17/70.94+P17/40.3+Q17/74.69+R17/81.38+S17/56.08+T17/61.98+U17/94.2+V17*5/141.944522+W17*3/80.06+X17/18.9984+Y17/35.453+AI17/44.01*2-AS17/12.011-AW17/32.065-2*AX17/32.065+AY17*3/32.065+AH17/18.01528),
IF(AND(M17&lt;&gt;"",BC17="mol/kg"),V17*2/141.944522*10*100/AP17,
IF(AND(M17="",BC17="mol/kg"),V17*2/141.944522*10*100/AP17,
IF(AND(M17="",BC17="Anions"),V17*2/141.944522*BE17/(H17*2/60.08+I17*2/79.88+J17*3/101.96+K17*3/151.99+L17*3/159.69+N17/71.85+O17/70.94+P17/40.3+Q17/74.69+R17/81.38+S17/56.08+T17/61.98+U17/94.2+V17*5/141.944522+W17*3/80.06+X17/18.9984+Y17/35.453+AI17/44.01*2-AS17/12.011-AW17/32.065-2*AX17/32.065+AY17*3/32.065+AH17/18.01528),
))))</f>
        <v>0</v>
      </c>
      <c r="BW17" s="76">
        <f t="shared" ref="BW17:BW22" si="99">IF(AND(M17&lt;&gt;"",BC17="Anions"),(AI17/44.01+AJ17/12.011)*BE17/(H17*2/60.08+I17*2/79.88+J17*3/101.96+K17*3/151.99+L17*3/159.69+M17/71.85+O17/70.94+P17/40.3+Q17/74.69+R17/81.38+S17/56.08+T17/61.98+U17/94.2+V17*5/141.944522+W17*3/80.06+X17/18.9984+Y17/35.453+AI17/44.01*2-AS17/12.011-AW17/32.065-2*AX17/32.065+AY17*3/32.065+AH17/18.01528),
IF(AND(M17&lt;&gt;"",BC17="mol/kg"),(AI17*(12.011/(12.011+31.999))+AJ17)/12.011*10*100/AP17,
IF(AND(M17="",BC17="mol/kg"),(AI17*(12.011/(12.011+31.999))+AJ17)/12.011*10*100/AP17,
IF(AND(M17="",BC17="Anions"),(AI17/44.01+AJ17/12.011)*BE17/(H17*2/60.08+I17*2/79.88+J17*3/101.96+K17*3/151.99+L17*3/159.69+N17/71.85+O17/70.94+P17/40.3+Q17/74.69+R17/81.38+S17/56.08+T17/61.98+U17/94.2+V17*5/141.944522+W17*3/80.06+X17/18.9984+Y17/35.453+AI17/44.01*2-AS17/12.011-AW17/32.065-2*AX17/32.065+AY17*3/32.065+AH17/18.01528),
))))</f>
        <v>0</v>
      </c>
      <c r="BX17" s="76">
        <f t="shared" ref="BX17:BX22" si="100">IF(AND(M17&lt;&gt;"",BC17="Anions"),W17/32.06/2*BE17/(H17*2/60.08+I17*2/79.88+J17*3/101.96+K17*3/151.99+L17*3/159.69+M17/71.85+O17/70.94+P17/40.3+Q17/74.69+R17/81.38+S17/56.08+T17/61.98+U17/94.2+V17*5/141.944522+W17*3/80.06+X17/18.9984+Y17/35.453+AI17/44.01*2-AS17/12.011-AW17/32.065-2*AX17/32.065+AY17*3/32.065+AH17/18.01528),
IF(AND(M17&lt;&gt;"",BC17="mol/kg"),W17/32.06/2*10*100/AP17,
IF(AND(M17="",BC17="mol/kg"),W17/32.06/2*10*100/AP17,
IF(AND(M17="",BC17="Anions"),W17/32.06/2*BE17/(H17*2/60.08+I17*2/79.88+J17*3/101.96+K17*3/151.99+L17*3/159.69+N17/71.85+O17/70.94+P17/40.3+Q17/74.69+R17/81.38+S17/56.08+T17/61.98+U17/94.2+V17*5/141.944522+W17*3/80.06+X17/18.9984+Y17/35.453+AI17/44.01*2-AS17/12.011-AW17/32.065-2*AX17/32.065+AY17*3/32.065+AH17/18.01528),
))))</f>
        <v>0</v>
      </c>
      <c r="BY17" s="78">
        <f t="shared" ref="BY17:BY22" si="101">IF(AND(M17&lt;&gt;"",BC17="Anions"),X17/18.9984*BE17/(H17*2/60.08+I17*2/79.88+J17*3/101.96+K17*3/151.99+L17*3/159.69+M17/71.85+O17/70.94+P17/40.3+Q17/74.69+R17/81.38+S17/56.08+T17/61.98+U17/94.2+V17*5/141.944522+W17*3/80.06+X17/18.9984+Y17/35.453+AI17/44.01*2-AS17/12.011-AW17/32.065-2*AX17/32.065+AY17*3/32.065+AH17/18.01528),
IF(AND(M17&lt;&gt;"",BC17="mol/kg"),X17/18.9984*10*100/AP17,
IF(AND(M17="",BC17="mol/kg"),X17/18.9984*10*100/AP17,
IF(AND(M17="",BC17="Anions"),X17/18.9984*BE17/(H17*2/60.08+I17*2/79.88+J17*3/101.96+K17*3/151.99+L17*3/159.69+N17/71.85+O17/70.94+P17/40.3+Q17/74.69+R17/81.38+S17/56.08+T17/61.98+U17/94.2+V17*5/141.944522+W17*3/80.06+X17/18.9984+Y17/35.453+AI17/44.01*2-AS17/12.011-AW17/32.065-2*AX17/32.065+AY17*3/32.065+AH17/18.01528),
))))</f>
        <v>0</v>
      </c>
      <c r="BZ17" s="76">
        <f t="shared" ref="BZ17:BZ22" si="102">IF(AND(M17&lt;&gt;"",BC17="Anions"),Y17/35.453*BE17/(H17*2/60.08+I17*2/79.88+J17*3/101.96+K17*3/151.99+L17*3/159.69+M17/71.85+O17/70.94+P17/40.3+Q17/74.69+R17/81.38+S17/56.08+T17/61.98+U17/94.2+V17*5/141.944522+W17*3/80.06+X17/18.9984+Y17/35.453+AI17/44.01*2-AS17/12.011-AW17/32.065-2*AX17/32.065+AY17*3/32.065+AH17/18.01528),
IF(AND(M17&lt;&gt;"",BC17="mol/kg"),Y17/35.453*10*100/AP17,
IF(AND(M17="",BC17="mol/kg"),Y17/35.453*10*100/AP17,
IF(AND(M17="",BC17="Anions"),Y17/35.453*BE17/(H17*2/60.08+I17*2/79.88+J17*3/101.96+K17*3/151.99+L17*3/159.69+N17/71.85+O17/70.94+P17/40.3+Q17/74.69+R17/81.38+S17/56.08+T17/61.98+U17/94.2+V17*5/141.944522+W17*3/80.06+X17/18.9984+Y17/35.453+AI17/44.01*2-AS17/12.011-AW17/32.065-2*AX17/32.065+AY17*3/32.065+AH17/18.01528),
))))</f>
        <v>0</v>
      </c>
      <c r="CA17" s="76">
        <f t="shared" ref="CA17:CA22" si="103">IF(AND(M17&lt;&gt;"",BC17="Anions"),AH17/18.01528*BE17/(H17*2/60.08+I17*2/79.88+J17*3/101.96+K17*3/151.99+L17*3/159.69+M17/71.85+O17/70.94+P17/40.3+Q17/74.69+R17/81.38+S17/56.08+T17/61.98+U17/94.2+V17*5/141.944522+W17*3/80.06+X17/18.9984+Y17/35.453+AI17/44.01*2-AS17/12.011-AW17/32.065-2*AX17/32.065+AY17*3/32.065+AH17/18.01528),
IF(AND(M17&lt;&gt;"",BC17="mol/kg"),AH17/18.01528*10*100/AP17,
IF(AND(M17="",BC17="mol/kg"),AH17/18.01528*10*100/AP17,
IF(AND(M17="",BC17="Anions"),AH17/18.01528*BE17/(H17*2/60.08+I17*2/79.88+J17*3/101.96+K17*3/151.99+L17*3/159.69+N17/71.85+O17/70.94+P17/40.3+Q17/74.69+R17/81.38+S17/56.08+T17/61.98+U17/94.2+V17*5/141.944522+W17*3/80.06+X17/18.9984+Y17/35.453+AI17/44.01*2-AS17/12.011-AW17/32.065-2*AX17/32.065+AY17*3/32.065+AH17/18.01528),
))))</f>
        <v>6.2123897834633786</v>
      </c>
      <c r="CB17" s="76">
        <f t="shared" ref="CB17:CB22" si="104">IF(AND(M17&lt;&gt;"",BC17="Anions"),1/2*(BI17*2+BJ17*2+BK17*3/2+BL17*3/2+BM17+BN17*3/2+BO17+BP17+BQ17+BR17+BS17+BT17/2+BU17/2+BV17*5+BW17*2+CA17),
IF(AND(M17="",BC17="Anions"),1/2*(BI17*2+BJ17*2+BK17*3/2+BL17*3/2+BM17+BN17*3/2+BO17+BP17+BQ17+BR17+BS17+BT17/2+BU17/2+BV17*5+BW17*2+CA17),
IF(AND(M17&lt;&gt;"",BC17="mol/kg"),BI17+BJ17+BK17*3/4+BL17*3/4+AU17/55.845*10/2+AV17/55.845*10*3/4+BP17/2+BQ17/2+BR17/2+BS17/2+BT17/4+BU17/4+BV17*5/4+AT17/12*10-AW17/2/32.065*10-AX17/4/32.065*10+AY17/32.065*10*3/2+CA17/2,
IF(AND(M17="",BC17="mol/kg"),BI17+BJ17+BK17*3/4+BL17*3/4+AU17/55.845*10/2+AV17/55.845*10*3/4+BP17/2+BQ17/2+BR17/2+BS17/2+BT17/4+BU17/4+BV17*5/4+AT17/12*10-AW17/2/32.065*10-AX17/4/32.065*10+AY17/32.065*10*3/2+CA17/2,
))))</f>
        <v>15.499639634012885</v>
      </c>
      <c r="CC17" s="12">
        <f t="shared" ref="CC17:CC22" si="105">SUM(BI17:BW17,2*CA17)</f>
        <v>29.981000409062382</v>
      </c>
      <c r="CD17" s="12">
        <f>IF(BC17="mol/kg",BY17+BZ17+2*CB17,
BI17*2+BJ17*2+BK17*3/2+BL17*3/2+BM17+BN17*3/2+BO17+BP17+BQ17+BR17+BS17+BT17/2+BU17/2+BV17*5+BW17*2 + BY17+BZ17+CA17
)</f>
        <v>30.99927926802577</v>
      </c>
      <c r="CE17" s="12"/>
      <c r="CF17" s="67" t="str">
        <f t="shared" ref="CF17:CF27" si="106">"mol % oxide O2"</f>
        <v>mol % oxide O2</v>
      </c>
      <c r="CG17" s="81">
        <f t="shared" ref="CG17:CG22" si="107">IF((CF17="mol % oxide O2"),H17/60.084*100/(H17/60.084+I17/79.866+J17/101.961+K17/151.99+M17/71.844+2*L17/159.69+O17/70.937+P17/40.304+Q17/74.693+R17/81.38+S17/56.077+T17/61.979+U17/94.196+AH17/18.015+1/2*L17/159.69),
IF((CF17="wt % oxide O2"),H17/60.084*100/(H17/60.084+I17/79.866+J17/101.961+K17/151.99+M17/71.844+2*L17/159.69+O17/70.937+P17/40.304+Q17/74.693+R17/81.38+S17/56.077+T17/61.979+U17/94.196+AH17/18.015+1/2*L17/159.69),
IF((CF17="mol % oxide O"),H17/60.084*100/(H17/60.084+I17/79.866+J17/101.961+K17/151.99+M17/71.844+2*L17/159.69+O17/70.937+P17/40.304+Q17/74.693+R17/81.38+S17/56.077+T17/61.979+U17/94.196+AH17/18.015+L17/159.69),
IF((CF17="mol % oxide Fe2O3"),H17/60.084*100/(H17/60.084+I17/79.866+J17/101.961+K17/151.99+M17/71.844+L17/159.69+O17/70.937+P17/40.304+Q17/74.693+R17/81.38+S17/56.077+T17/61.979+U17/94.196+AH17/18.015),
IF((CF17="mineral oxide O2"),BI17,
IF((CF17=""),"",
))))))</f>
        <v>27.806512359002635</v>
      </c>
      <c r="CH17" s="81">
        <f t="shared" ref="CH17:CH22" si="108">IF((CF17="mol % oxide O2"),I17/79.866*100/(H17/60.084+I17/79.866+J17/101.961+K17/151.99+M17/71.844+2*L17/159.69+O17/70.937+P17/40.304+Q17/74.693+R17/81.38+S17/56.077+T17/61.979+U17/94.196+AH17/18.015+1/2*L17/159.69),
IF((CF17="mol % oxide O"),I17/79.866*100/(H17/60.084+I17/79.866+J17/101.961+K17/151.99+M17/71.844+2*L17/159.69+O17/70.937+P17/40.304+Q17/74.693+R17/81.38+S17/56.077+T17/61.979+U17/94.196+AH17/18.015+L17/159.69),
IF((CF17="mol % oxide Fe2O3"),I17/79.866*100/(H17/60.084+I17/79.866+J17/101.961+K17/151.99+M17/71.844+L17/159.69+O17/70.937+P17/40.304+Q17/74.693+R17/81.38+S17/56.077+T17/61.979+U17/94.196+AH17/18.015),
IF((CF17="mineral oxide O2"),BJ17,
IF((CF17=""),"",
)))))</f>
        <v>0</v>
      </c>
      <c r="CI17" s="81">
        <f t="shared" ref="CI17:CI22" si="109">IF((CF17="mol % oxide O2"),J17/101.961*100/(H17/60.084+I17/79.866+J17/101.961+K17/151.99+M17/71.844+2*L17/159.69+O17/70.937+P17/40.304+Q17/74.693+R17/81.38+S17/56.077+T17/61.979+U17/94.196+AH17/18.015+1/2*L17/159.69),
IF((CF17="mol % oxide O"),J17/101.961*100/(H17/60.084+I17/79.866+J17/101.961+K17/151.99+M17/71.844+2*L17/159.69+O17/70.937+P17/40.304+Q17/74.693+R17/81.38+S17/56.077+T17/61.979+U17/94.196+AH17/18.015+L17/159.69),
IF((CF17="mol % oxide Fe2O3"),J17/101.961*100/(H17/60.084+I17/79.866+J17/101.961+K17/151.99+M17/71.844+L17/159.69+O17/70.937+P17/40.304+Q17/74.693+R17/81.38+S17/56.077+T17/61.979+U17/94.196+AH17/18.015),
IF((CF17="mineral oxide O2"),BK17/2,
IF((CF17=""),"",
)))))</f>
        <v>1.071627797281135</v>
      </c>
      <c r="CJ17" s="81">
        <f t="shared" ref="CJ17:CJ22" si="110">IF((CF17="mol % oxide O2"),K17/151.99*100/(H17/60.084+I17/79.866+J17/101.961+K17/151.99+M17/71.844+2*L17/159.69+O17/70.937+P17/40.304+Q17/74.693+R17/81.38+S17/56.077+T17/61.979+U17/94.196+AH17/18.015+1/2*L17/159.69),
IF((CF17="mol % oxide O"),K17/151.99*100/(H17/60.084+I17/79.866+J17/101.961+K17/151.99+M17/71.844+2*L17/159.69+O17/70.937+P17/40.304+Q17/74.693+R17/81.38+S17/56.077+T17/61.979+U17/94.196+AH17/18.015+L17/159.69),
IF((CF17="mol % oxide Fe2O3"),K17/151.99*100/(H17/60.084+I17/79.866+J17/101.961+K17/151.99+M17/71.844+L17/159.69+O17/70.937+P17/40.304+Q17/74.693+R17/81.38+S17/56.077+T17/61.979+U17/94.196+AH17/18.015),
IF((CF17="mineral oxide O2"),BL17/2,
IF((CF17=""),"",
)))))</f>
        <v>0.11647148626293544</v>
      </c>
      <c r="CK17" s="81">
        <f t="shared" ref="CK17:CK22" si="111">IF((CF17="mol % oxide O2"),(M17/71.844+2*L17/159.69)*100/(H17/60.084+I17/79.866+J17/101.961+K17/151.99+M17/71.844+2*L17/159.69+O17/70.937+P17/40.304+Q17/74.693+R17/81.38+S17/56.077+T17/61.979+U17/94.196+AH17/18.015+1/2*L17/159.69),
IF((CF17="mol % oxide O"),(M17/71.844+2*L17/159.69)*100/(H17/60.084+I17/79.866+J17/101.961+K17/151.99+M17/71.844+2*L17/159.69+O17/70.937+P17/40.304+Q17/74.693+R17/81.38+S17/56.077+T17/61.979+U17/94.196+AH17/18.015+L17/159.69),
IF((CF17="mol % oxide Fe2O3"),M17/71.844*100/(H17/60.084+I17/79.866+J17/101.961+K17/151.99+M17/71.844+L17/159.69+O17/70.937+P17/40.304+Q17/74.693+R17/81.38+S17/56.077+T17/61.979+U17/94.196+AH17/18.015),
IF((CF17="mineral oxide O2"),BN17+BM17,
IF((CF17=""),"",
)))))</f>
        <v>4.5117440134776112</v>
      </c>
      <c r="CL17" s="81">
        <f t="shared" ref="CL17:CL22" si="112">IF((CF17="mol % oxide O2"),O17/70.937*100/(H17/60.084+I17/79.866+J17/101.961+K17/151.99+M17/71.844+2*L17/159.69+O17/70.937+P17/40.304+Q17/74.693+R17/81.38+S17/56.077+T17/61.979+U17/94.196+AH17/18.015+1/2*L17/159.69),
IF((CF17="mol % oxide O"),O17/70.937*100/(H17/60.084+I17/79.866+J17/101.961+K17/151.99+M17/71.844+2*L17/159.69+O17/70.937+P17/40.304+Q17/74.693+R17/81.38+S17/56.077+T17/61.979+U17/94.196+AH17/18.015+L17/159.69),
IF((CF17="mol % oxide Fe2O3"),O17/70.937*100/(H17/60.084+I17/79.866+J17/101.961+K17/151.99+M17/71.844+L17/159.69+O17/70.937+P17/40.304+Q17/74.693+R17/81.38+S17/56.077+T17/61.979+U17/94.196+AH17/18.015),
IF((CF17="mineral oxide O2"),BO17,
IF((CF17=""),"",
)))))</f>
        <v>0</v>
      </c>
      <c r="CM17" s="81">
        <f t="shared" ref="CM17:CM22" si="113">IF((CF17="mol % oxide O2"),P17/40.304*100/(H17/60.084+I17/79.866+J17/101.961+K17/151.99+M17/71.844+2*L17/159.69+O17/70.937+P17/40.304+Q17/74.693+R17/81.38+S17/56.077+T17/61.979+U17/94.196+AH17/18.015+1/2*L17/159.69),
IF((CF17="mol % oxide O"),P17/40.304*100/(H17/60.084+I17/79.866+J17/101.961+K17/151.99+M17/71.844+2*L17/159.69+O17/70.937+P17/40.304+Q17/74.693+R17/81.38+S17/56.077+T17/61.979+U17/94.196+AH17/18.015+L17/159.69),
IF((CF17="mol % oxide Fe2O3"),P17/40.304*100/(H17/60.084+I17/79.866+J17/101.961+K17/151.99+M17/71.844+L17/159.69+O17/70.937+P17/40.304+Q17/74.693+R17/81.38+S17/56.077+T17/61.979+U17/94.196+AH17/18.015),
IF((CF17="mineral oxide O2"),BP17,
IF((CF17=""),"",
)))))</f>
        <v>39.267504153585854</v>
      </c>
      <c r="CN17" s="81">
        <f t="shared" ref="CN17:CN22" si="114">IF((CF17="mol % oxide O2"),Q17/74.693*100/(H17/60.084+I17/79.866+J17/101.961+K17/151.99+M17/71.844+2*L17/159.69+O17/70.937+P17/40.304+Q17/74.693+R17/81.38+S17/56.077+T17/61.979+U17/94.196+AH17/18.015+1/2*L17/159.69),
IF((CF17="mol % oxide O"),Q17/74.693*100/(H17/60.084+I17/79.866+J17/101.961+K17/151.99+M17/71.844+2*L17/159.69+O17/70.937+P17/40.304+Q17/74.693+R17/81.38+S17/56.077+T17/61.979+U17/94.196+AH17/18.015+L17/159.69),
IF((CF17="mol % oxide Fe2O3"),Q17/74.693*100/(H17/60.084+I17/79.866+J17/101.961+K17/151.99+M17/71.844+L17/159.69+O17/70.937+P17/40.304+Q17/74.693+R17/81.38+S17/56.077+T17/61.979+U17/94.196+AH17/18.015),
IF((CF17="mineral oxide O2"),BQ17,
IF((CF17=""),"",
)))))</f>
        <v>0</v>
      </c>
      <c r="CO17" s="81">
        <f t="shared" ref="CO17:CO22" si="115">IF((CF17="mol % oxide O2"),R17/81.38*100/(H17/60.084+I17/79.866+J17/101.961+K17/151.99+M17/71.844+2*L17/159.69+O17/70.937+P17/40.304+Q17/74.693+R17/81.38+S17/56.077+T17/61.979+U17/94.196+AH17/18.015+1/2*L17/159.69),
IF((CF17="mol % oxide O"),R17/81.38*100/(H17/60.084+I17/79.866+J17/101.961+K17/151.99+M17/71.844+2*L17/159.69+O17/70.937+P17/40.304+Q17/74.693+R17/81.38+S17/56.077+T17/61.979+U17/94.196+AH17/18.015+L17/159.69),
IF((CF17="mol % oxide Fe2O3"),R17/81.38*100/(H17/60.084+I17/79.866+J17/101.961+K17/151.99+M17/71.844+L17/159.69+O17/70.937+P17/40.304+Q17/74.693+R17/81.38+S17/56.077+T17/61.979+U17/94.196+AH17/18.015),
IF((CF17="mineral oxide O2"),BR17,
IF((CF17=""),"",
)))))</f>
        <v>0</v>
      </c>
      <c r="CP17" s="81">
        <f t="shared" ref="CP17:CP22" si="116">IF((CF17="mol % oxide O2"),S17/56.077*100/(H17/60.084+I17/79.866+J17/101.961+K17/151.99+M17/71.844+2*L17/159.69+O17/70.937+P17/40.304+Q17/74.693+R17/81.38+S17/56.077+T17/61.979+U17/94.196+AH17/18.015+1/2*L17/159.69),
IF((CF17="mol % oxide O"),S17/56.077*100/(H17/60.084+I17/79.866+J17/101.961+K17/151.99+M17/71.844+2*L17/159.69+O17/70.937+P17/40.304+Q17/74.693+R17/81.38+S17/56.077+T17/61.979+U17/94.196+AH17/18.015+L17/159.69),
IF((CF17="mol % oxide Fe2O3"),S17/56.077*100/(H17/60.084+I17/79.866+J17/101.961+K17/151.99+M17/71.844+L17/159.69+O17/70.937+P17/40.304+Q17/74.693+R17/81.38+S17/56.077+T17/61.979+U17/94.196+AH17/18.015),
IF((CF17="mineral oxide O2"),BS17,
IF((CF17=""),"",
)))))</f>
        <v>0.20390944522445181</v>
      </c>
      <c r="CQ17" s="81">
        <f t="shared" ref="CQ17:CQ22" si="117">IF((CF17="mol % oxide O2"),T17/61.979*100/(H17/60.084+I17/79.866+J17/101.961+K17/151.99+M17/71.844+2*L17/159.69+O17/70.937+P17/40.304+Q17/74.693+R17/81.38+S17/56.077+T17/61.979+U17/94.196+AH17/18.015+1/2*L17/159.69),
IF((CF17="mol % oxide O"),T17/61.979*100/(H17/60.084+I17/79.866+J17/101.961+K17/151.99+M17/71.844+2*L17/159.69+O17/70.937+P17/40.304+Q17/74.693+R17/81.38+S17/56.077+T17/61.979+U17/94.196+AH17/18.015+L17/159.69),
IF((CF17="mol % oxide Fe2O3"),T17/61.979*100/(H17/60.084+I17/79.866+J17/101.961+K17/151.99+M17/71.844+L17/159.69+O17/70.937+P17/40.304+Q17/74.693+R17/81.38+S17/56.077+T17/61.979+U17/94.196+AH17/18.015),
IF((CF17="mineral oxide O2"),BT17/2,
IF((CF17=""),"",
)))))</f>
        <v>0</v>
      </c>
      <c r="CR17" s="81">
        <f t="shared" ref="CR17:CR22" si="118">IF((CF17="mol % oxide O2"),U17/94.196*100/(H17/60.084+I17/79.866+J17/101.961+K17/151.99+M17/71.844+2*L17/159.69+O17/70.937+P17/40.304+Q17/74.693+R17/81.38+S17/56.077+T17/61.979+U17/94.196+AH17/18.015+1/2*L17/159.69),
IF((CF17="mol % oxide O"),U17/94.196*100/(H17/60.084+I17/79.866+J17/101.961+K17/151.99+M17/71.844+2*L17/159.69+O17/70.937+P17/40.304+Q17/74.693+R17/81.38+S17/56.077+T17/61.979+U17/94.196+AH17/18.015+L17/159.69),
IF((CF17="mol % oxide Fe2O3"),U17/94.196*100/(H17/60.084+I17/79.866+J17/101.961+K17/151.99+M17/71.844+L17/159.69+O17/70.937+P17/40.304+Q17/74.693+R17/81.38+S17/56.077+T17/61.979+U17/94.196+AH17/18.015),
IF((CF17="mineral oxide O2"),BU17/2,
IF((CF17=""),"",
)))))</f>
        <v>0</v>
      </c>
      <c r="CS17" s="81">
        <f t="shared" ref="CS17:CS22" si="119">IF((CF17="mol % oxide O2"),V17/141.943*100/(H17/60.084+I17/79.866+J17/101.961+K17/151.99+M17/71.844+2*L17/159.69+O17/70.937+P17/40.304+Q17/74.693+R17/81.38+S17/56.077+T17/61.979+U17/94.196+AH17/18.015+1/2*L17/159.69),
IF((CF17="mol % oxide O"),V17/141.943*100/(H17/60.084+I17/79.866+J17/101.961+K17/151.99+M17/71.844+2*L17/159.69+O17/70.937+P17/40.304+Q17/74.693+R17/81.38+S17/56.077+T17/61.979+U17/94.196+AH17/18.015+L17/159.69),
IF((CF17="mol % oxide Fe2O3"),V17/141.943*100/(H17/60.084+I17/79.866+J17/101.961+K17/151.99+M17/71.844+L17/159.69+O17/70.937+P17/40.304+Q17/74.693+R17/81.38+S17/56.077+T17/61.979+U17/94.196+AH17/18.015),
IF((CF17="mineral oxide O2"),BV17/2,
IF((CF17=""),"",
)))))</f>
        <v>0</v>
      </c>
      <c r="CT17" s="81">
        <f t="shared" ref="CT17:CT22" si="120">IF((CF17="mol % oxide O2"),AI17/44.01*100/(H17/60.084+I17/79.866+J17/101.961+K17/151.99+M17/71.844+2*L17/159.69+O17/70.937+P17/40.304+Q17/74.693+R17/81.38+S17/56.077+T17/61.979+U17/94.196+AH17/18.015+1/2*L17/159.69+AI17/44.01+W17/80.06/2+X17/20/2+Y17/2/35.453),
IF((CF17="mol % oxide O"),AI17/44.01*100/(H17/60.084+I17/79.866+J17/101.961+K17/151.99+M17/71.844+2*L17/159.69+O17/70.937+P17/40.304+Q17/74.693+R17/81.38+S17/56.077+T17/61.979+U17/94.196+AH17/18.015+L17/159.69+AI17/44.01+W17/80.06/2+X17/20/2+Y17/2/35.453),
IF((CF17="mol % oxide Fe2O3"),AI17/44.01*100/(H17/60.084+I17/79.866+J17/101.961+K17/151.99+M17/71.844+L17/159.69+O17/70.937+P17/40.304+Q17/74.693+R17/81.38+S17/56.077+T17/61.979+U17/94.196+AH17/18.015+AI17/44.01+W17/80.06/2+X17/20/2+Y17/2/35.453),
IF((CF17="mineral oxide O2"),BW17,
IF((CF17=""),"",
)))))</f>
        <v>0</v>
      </c>
      <c r="CU17" s="81">
        <f t="shared" ref="CU17:CU22" si="121">IF((CF17="mol % oxide O2"),W17/80.06/2*100/(H17/60.084+I17/79.866+J17/101.961+K17/151.99+M17/71.844+2*L17/159.69+O17/70.937+P17/40.304+Q17/74.693+R17/81.38+S17/56.077+T17/61.979+U17/94.196+AH17/18.015+1/2*L17/159.69+AI17/44.01+W17/80.06/2+X17/20/2+Y17/2/35.453),
IF((CF17="mol % oxide O"),W17/80.06/2*100/(H17/60.084+I17/79.866+J17/101.961+K17/151.99+M17/71.844+2*L17/159.69+O17/70.937+P17/40.304+Q17/74.693+R17/81.38+S17/56.077+T17/61.979+U17/94.196+AH17/18.015+L17/159.69+AI17/44.01+W17/80.06/2+X17/20/2+Y17/2/35.453),
IF((CF17="mol % oxide Fe2O3"),W17/80.06/2*100/(H17/60.084+I17/79.866+J17/101.961+K17/151.99+M17/71.844+L17/159.69+O17/70.937+P17/40.304+Q17/74.693+R17/81.38+S17/56.077+T17/61.979+U17/94.196+AH17/18.015+AI17/44.01+W17/80.06/2+X17/20/2+Y17/2/35.453),
IF((CF17="mineral oxide O2"),BW17,
IF((CF17=""),"",
)))))</f>
        <v>0</v>
      </c>
      <c r="CV17" s="81">
        <f t="shared" ref="CV17:CV22" si="122">IF((CF17="mol % oxide O2"),X17/2/20*100/(H17/60.084+I17/79.866+J17/101.961+K17/151.99+M17/71.844+2*L17/159.69+O17/70.937+P17/40.304+Q17/74.693+R17/81.38+S17/56.077+T17/61.979+U17/94.196+AH17/18.015+1/2*L17/159.69+AI17/44.01+W17/80.06/2+X17/20/2+Y17/2/35.453),
IF((CF17="mol % oxide O"),X17/2/20*100/(H17/60.084+I17/79.866+J17/101.961+K17/151.99+M17/71.844+2*L17/159.69+O17/70.937+P17/40.304+Q17/74.693+R17/81.38+S17/56.077+T17/61.979+U17/94.196+AH17/18.015+L17/159.69+AI17/44.01+W17/80.06/2+X17/20/2+Y17/2/35.453),
IF((CF17="mol % oxide Fe2O3"),X17/2/20*100/(H17/60.084+I17/79.866+J17/101.961+K17/151.99+M17/71.844+L17/159.69+O17/70.937+P17/40.304+Q17/74.693+R17/81.38+S17/56.077+T17/61.979+U17/94.196+AH17/18.015+AI17/44.01+W17/80.06/2+X17/20/2+Y17/2/35.453),
IF((CF17="mineral oxide O2"),BY17,
IF((CF17=""),"",
)))))</f>
        <v>0</v>
      </c>
      <c r="CW17" s="81">
        <f t="shared" ref="CW17:CW22" si="123">IF((CF17="mol % oxide O2"),Y17/2/35.453*100/(H17/60.084+I17/79.866+J17/101.961+K17/151.99+M17/71.844+2*L17/159.69+O17/70.937+P17/40.304+Q17/74.693+R17/81.38+S17/56.077+T17/61.979+U17/94.196+AH17/18.015+1/2*L17/159.69+AI17/44.01+W17/80.06/2+X17/20/2+Y17/2/35.453),
IF((CF17="mol % oxide O"),Y17/2/35.453*100/(H17/60.084+I17/79.866+J17/101.961+K17/151.99+M17/71.844+2*L17/159.69+O17/70.937+P17/40.304+Q17/74.693+R17/81.38+S17/56.077+T17/61.979+U17/94.196+AH17/18.015+L17/159.69+AI17/44.01+W17/80.06/2+X17/20/2+Y17/2/35.453),
IF((CF17="mol % oxide Fe2O3"),Y17/2/35.453*100/(H17/60.084+I17/79.866+J17/101.961+K17/151.99+M17/71.844+L17/159.69+O17/70.937+P17/40.304+Q17/74.693+R17/81.38+S17/56.077+T17/61.979+U17/94.196+AH17/18.015+AI17/44.01+W17/80.06/2+X17/20/2+Y17/2/35.453),
IF((CF17="mineral oxide O2"),BZ17,
IF((CF17=""),"",
)))))</f>
        <v>0</v>
      </c>
      <c r="CX17" s="81">
        <f t="shared" ref="CX17:CX22" si="124">IF((CF17="mol % oxide O2"),AH17/18.015*100/(H17/60.084+I17/79.866+J17/101.961+K17/151.99+M17/71.844+2*L17/159.69+O17/70.937+P17/40.304+Q17/74.693+R17/81.38+S17/56.077+T17/61.979+U17/94.196+AH17/18.015+1/2*L17/159.69),
IF((CF17="mol % oxide O"),AH17/18.015*100/(H17/60.084+I17/79.866+J17/101.961+K17/151.99+M17/71.844+2*L17/159.69+O17/70.937+P17/40.304+Q17/74.693+R17/81.38+S17/56.077+T17/61.979+U17/94.196+AH17/18.015+L17/159.69),
IF((CF17="mol % oxide Fe2O3"),AH17/18.015*100/(H17/60.084+I17/79.866+J17/101.961+K17/151.99+M17/71.844+L17/159.69+O17/70.937+P17/40.304+Q17/74.693+R17/81.38+S17/56.077+T17/61.979+U17/94.196+AH17/18.015),
IF((CF17="mineral oxide O2"),CA17,
IF((CF17=""),"",
)))))</f>
        <v>26.246508045569954</v>
      </c>
      <c r="CY17" s="81">
        <f t="shared" ref="CY17:CY22" si="125">IF((CF17="mol % oxide O2"),1/2*L17/159.69*100/(H17/60.084+I17/79.866+J17/101.961+K17/151.99+M17/71.844+2*L17/159.69+O17/70.937+P17/40.304+Q17/74.693+R17/81.38+S17/56.077+T17/61.979+U17/94.196+AH17/18.015+1/2*L17/159.69),
IF((CF17="mol % oxide O"),L17/159.69*100/(H17/60.084+I17/79.866+J17/101.961+K17/151.99+M17/71.844+2*L17/159.69+O17/70.937+P17/40.304+Q17/74.693+R17/81.38+S17/56.077+T17/61.979+U17/94.196+AH17/18.015+L17/159.69),
IF((CF17="mol % oxide Fe2O3"),L17/159.69*100/(H17/60.084+I17/79.866+J17/101.961+K17/151.99+M17/71.844+L17/159.69+O17/70.937+P17/40.304+Q17/74.693+R17/81.38+S17/56.077+T17/61.979+U17/94.196+AH17/18.015),
IF((CF17="mineral oxide O2"),BN17*1/4,
IF((CF17=""),"",
)))))</f>
        <v>0.77572269959541706</v>
      </c>
      <c r="CZ17" s="81"/>
      <c r="DA17" s="67" t="s">
        <v>280</v>
      </c>
      <c r="DB17" s="60">
        <f t="shared" ref="DB17:DC22" si="126">BI17*2</f>
        <v>13.16434773483388</v>
      </c>
      <c r="DC17" s="60">
        <f t="shared" si="126"/>
        <v>0</v>
      </c>
      <c r="DD17" s="67">
        <f t="shared" ref="DD17:DE22" si="127">BK17*3/2</f>
        <v>0.7609627538737902</v>
      </c>
      <c r="DE17" s="67">
        <f t="shared" si="127"/>
        <v>8.270557548134834E-2</v>
      </c>
      <c r="DF17" s="94" t="e">
        <f t="shared" ref="DF17:DF22" si="128">BM17+BN17</f>
        <v>#VALUE!</v>
      </c>
      <c r="DG17" s="94">
        <f t="shared" ref="DG17:DM22" si="129">BO17</f>
        <v>0</v>
      </c>
      <c r="DH17" s="95">
        <f t="shared" si="129"/>
        <v>9.2954478373644367</v>
      </c>
      <c r="DI17" s="94">
        <f t="shared" si="129"/>
        <v>0</v>
      </c>
      <c r="DJ17" s="94">
        <f t="shared" si="129"/>
        <v>0</v>
      </c>
      <c r="DK17" s="94">
        <f t="shared" si="129"/>
        <v>4.8262301188276492E-2</v>
      </c>
      <c r="DL17" s="94">
        <f t="shared" si="129"/>
        <v>0</v>
      </c>
      <c r="DM17" s="94">
        <f t="shared" si="129"/>
        <v>0</v>
      </c>
      <c r="DN17" s="94">
        <f t="shared" ref="DN17:DN22" si="130">BV17*5/2</f>
        <v>0</v>
      </c>
      <c r="DO17" s="94">
        <f t="shared" ref="DO17:DO22" si="131">CA17</f>
        <v>6.2123897834633786</v>
      </c>
      <c r="DP17" s="94">
        <f t="shared" ref="DP17:DP22" si="132">CB17*2</f>
        <v>30.99927926802577</v>
      </c>
    </row>
    <row r="18" spans="1:120" s="28" customFormat="1" ht="16" customHeight="1">
      <c r="A18" s="39"/>
      <c r="B18" s="57"/>
      <c r="C18" s="57"/>
      <c r="D18" s="67"/>
      <c r="E18" s="67"/>
      <c r="F18" s="67"/>
      <c r="G18" s="67"/>
      <c r="H18" s="60">
        <v>60.45</v>
      </c>
      <c r="I18" s="60">
        <v>1.03</v>
      </c>
      <c r="J18" s="60">
        <v>19.91</v>
      </c>
      <c r="K18" s="60">
        <v>0.02</v>
      </c>
      <c r="L18" s="69">
        <v>0.85</v>
      </c>
      <c r="M18" s="59">
        <v>7</v>
      </c>
      <c r="N18" s="60">
        <f>L18*1/((159.69/71.844)/2)+M18</f>
        <v>7.764824347172647</v>
      </c>
      <c r="O18" s="60"/>
      <c r="P18" s="60">
        <v>1.87</v>
      </c>
      <c r="Q18" s="60"/>
      <c r="R18" s="60"/>
      <c r="S18" s="60">
        <v>0.48</v>
      </c>
      <c r="T18" s="60">
        <v>0.56999999999999995</v>
      </c>
      <c r="U18" s="60">
        <v>3.83</v>
      </c>
      <c r="V18" s="60"/>
      <c r="W18" s="60"/>
      <c r="X18" s="60"/>
      <c r="Y18" s="60"/>
      <c r="Z18" s="60">
        <v>3.12</v>
      </c>
      <c r="AA18" s="70"/>
      <c r="AB18" s="86">
        <v>0</v>
      </c>
      <c r="AC18" s="86">
        <v>0</v>
      </c>
      <c r="AD18" s="86">
        <v>100</v>
      </c>
      <c r="AE18" s="86"/>
      <c r="AF18" s="71">
        <f t="shared" si="73"/>
        <v>9.8498602540975339E-2</v>
      </c>
      <c r="AG18" s="97">
        <v>3.12</v>
      </c>
      <c r="AH18" s="97">
        <f>AO18-AI18</f>
        <v>2.343</v>
      </c>
      <c r="AI18" s="97"/>
      <c r="AJ18" s="97">
        <v>0.7</v>
      </c>
      <c r="AK18" s="97"/>
      <c r="AL18" s="97"/>
      <c r="AM18" s="97"/>
      <c r="AN18" s="97"/>
      <c r="AO18" s="60">
        <f t="shared" si="74"/>
        <v>2.343</v>
      </c>
      <c r="AP18" s="124">
        <f t="shared" si="75"/>
        <v>99.13</v>
      </c>
      <c r="AQ18" s="126"/>
      <c r="AR18" s="126"/>
      <c r="AS18" s="140">
        <f t="shared" si="76"/>
        <v>0.7</v>
      </c>
      <c r="AT18" s="140">
        <f t="shared" si="77"/>
        <v>0</v>
      </c>
      <c r="AU18" s="140">
        <f t="shared" si="78"/>
        <v>5.4889177737075885</v>
      </c>
      <c r="AV18" s="140">
        <f t="shared" si="79"/>
        <v>0.59973383154744819</v>
      </c>
      <c r="AW18" s="140">
        <f t="shared" si="80"/>
        <v>0</v>
      </c>
      <c r="AX18" s="140">
        <f t="shared" si="81"/>
        <v>0</v>
      </c>
      <c r="AY18" s="140">
        <f t="shared" si="82"/>
        <v>0</v>
      </c>
      <c r="AZ18" s="126"/>
      <c r="BA18" s="68" t="s">
        <v>146</v>
      </c>
      <c r="BB18" s="124"/>
      <c r="BC18" s="96" t="s">
        <v>302</v>
      </c>
      <c r="BD18" s="124"/>
      <c r="BE18" s="50" t="str">
        <f t="shared" si="83"/>
        <v/>
      </c>
      <c r="BF18" s="50" t="str">
        <f t="shared" si="84"/>
        <v/>
      </c>
      <c r="BG18" s="51"/>
      <c r="BH18" s="12"/>
      <c r="BI18" s="76">
        <f t="shared" si="85"/>
        <v>10.14988858461424</v>
      </c>
      <c r="BJ18" s="76">
        <f t="shared" si="86"/>
        <v>0.13007506821616469</v>
      </c>
      <c r="BK18" s="76">
        <f t="shared" si="87"/>
        <v>3.9397287590740899</v>
      </c>
      <c r="BL18" s="76">
        <f t="shared" si="88"/>
        <v>2.6548492776689403E-3</v>
      </c>
      <c r="BM18" s="76">
        <f t="shared" si="89"/>
        <v>1.0901928505103724</v>
      </c>
      <c r="BN18" s="77" t="str">
        <f t="shared" si="90"/>
        <v>-</v>
      </c>
      <c r="BO18" s="76">
        <f t="shared" si="91"/>
        <v>0</v>
      </c>
      <c r="BP18" s="76">
        <f t="shared" si="92"/>
        <v>0.46809225372402447</v>
      </c>
      <c r="BQ18" s="76">
        <f t="shared" si="93"/>
        <v>0</v>
      </c>
      <c r="BR18" s="76">
        <f t="shared" si="94"/>
        <v>0</v>
      </c>
      <c r="BS18" s="76">
        <f t="shared" si="95"/>
        <v>8.6343197228153118E-2</v>
      </c>
      <c r="BT18" s="76">
        <f t="shared" si="96"/>
        <v>0.18554453757369657</v>
      </c>
      <c r="BU18" s="76">
        <f t="shared" si="97"/>
        <v>0.82030009276030558</v>
      </c>
      <c r="BV18" s="76">
        <f t="shared" si="98"/>
        <v>0</v>
      </c>
      <c r="BW18" s="76">
        <f t="shared" si="99"/>
        <v>0.58791395220845799</v>
      </c>
      <c r="BX18" s="76">
        <f t="shared" si="100"/>
        <v>0</v>
      </c>
      <c r="BY18" s="78">
        <f t="shared" si="101"/>
        <v>0</v>
      </c>
      <c r="BZ18" s="76">
        <f t="shared" si="102"/>
        <v>0</v>
      </c>
      <c r="CA18" s="76">
        <f t="shared" si="103"/>
        <v>1.3119768319356262</v>
      </c>
      <c r="CB18" s="76">
        <f t="shared" si="104"/>
        <v>14.993405274741626</v>
      </c>
      <c r="CC18" s="12">
        <f t="shared" si="105"/>
        <v>20.084687809058423</v>
      </c>
      <c r="CD18" s="12">
        <f>IF(BC18="mol/kg",BY18+BZ18+2*CB18,
BI18*2+BJ18*2+BK18*3/2+BL18*3/2+BM18+BN18*3/2+BO18+BP18+BQ18+BR18+BS18+BT18/2+BU18/2+BV18*5+BW18*2 + BY18+BZ18+CA18
)</f>
        <v>29.986810549483252</v>
      </c>
      <c r="CE18" s="12"/>
      <c r="CF18" s="67" t="str">
        <f t="shared" si="106"/>
        <v>mol % oxide O2</v>
      </c>
      <c r="CG18" s="81">
        <f t="shared" si="107"/>
        <v>64.492933517708579</v>
      </c>
      <c r="CH18" s="81">
        <f t="shared" si="108"/>
        <v>0.82670383976749606</v>
      </c>
      <c r="CI18" s="81">
        <f t="shared" si="109"/>
        <v>12.517333914360728</v>
      </c>
      <c r="CJ18" s="81">
        <f t="shared" si="110"/>
        <v>8.4350885203703131E-3</v>
      </c>
      <c r="CK18" s="81">
        <f t="shared" si="111"/>
        <v>6.9281262865716755</v>
      </c>
      <c r="CL18" s="81">
        <f t="shared" si="112"/>
        <v>0</v>
      </c>
      <c r="CM18" s="81">
        <f t="shared" si="113"/>
        <v>2.9741859677385953</v>
      </c>
      <c r="CN18" s="81">
        <f t="shared" si="114"/>
        <v>0</v>
      </c>
      <c r="CO18" s="81">
        <f t="shared" si="115"/>
        <v>0</v>
      </c>
      <c r="CP18" s="81">
        <f t="shared" si="116"/>
        <v>0.54869516024512766</v>
      </c>
      <c r="CQ18" s="81">
        <f t="shared" si="117"/>
        <v>0.58952870278668423</v>
      </c>
      <c r="CR18" s="81">
        <f t="shared" si="118"/>
        <v>2.6063994591747277</v>
      </c>
      <c r="CS18" s="81">
        <f t="shared" si="119"/>
        <v>0</v>
      </c>
      <c r="CT18" s="81">
        <f t="shared" si="120"/>
        <v>0</v>
      </c>
      <c r="CU18" s="81">
        <f t="shared" si="121"/>
        <v>0</v>
      </c>
      <c r="CV18" s="81">
        <f t="shared" si="122"/>
        <v>0</v>
      </c>
      <c r="CW18" s="81">
        <f t="shared" si="123"/>
        <v>0</v>
      </c>
      <c r="CX18" s="81">
        <f t="shared" si="124"/>
        <v>8.3370553737623361</v>
      </c>
      <c r="CY18" s="81">
        <f t="shared" si="125"/>
        <v>0.17060268936367673</v>
      </c>
      <c r="CZ18" s="81"/>
      <c r="DA18" s="67" t="s">
        <v>280</v>
      </c>
      <c r="DB18" s="60">
        <f t="shared" si="126"/>
        <v>20.299777169228481</v>
      </c>
      <c r="DC18" s="60">
        <f t="shared" si="126"/>
        <v>0.26015013643232937</v>
      </c>
      <c r="DD18" s="67">
        <f t="shared" si="127"/>
        <v>5.9095931386111351</v>
      </c>
      <c r="DE18" s="67">
        <f t="shared" si="127"/>
        <v>3.9822739165034102E-3</v>
      </c>
      <c r="DF18" s="94" t="e">
        <f t="shared" si="128"/>
        <v>#VALUE!</v>
      </c>
      <c r="DG18" s="94">
        <f t="shared" si="129"/>
        <v>0</v>
      </c>
      <c r="DH18" s="95">
        <f t="shared" si="129"/>
        <v>0.46809225372402447</v>
      </c>
      <c r="DI18" s="94">
        <f t="shared" si="129"/>
        <v>0</v>
      </c>
      <c r="DJ18" s="94">
        <f t="shared" si="129"/>
        <v>0</v>
      </c>
      <c r="DK18" s="94">
        <f t="shared" si="129"/>
        <v>8.6343197228153118E-2</v>
      </c>
      <c r="DL18" s="94">
        <f t="shared" si="129"/>
        <v>0.18554453757369657</v>
      </c>
      <c r="DM18" s="94">
        <f t="shared" si="129"/>
        <v>0.82030009276030558</v>
      </c>
      <c r="DN18" s="94">
        <f t="shared" si="130"/>
        <v>0</v>
      </c>
      <c r="DO18" s="94">
        <f t="shared" si="131"/>
        <v>1.3119768319356262</v>
      </c>
      <c r="DP18" s="94">
        <f t="shared" si="132"/>
        <v>29.986810549483252</v>
      </c>
    </row>
    <row r="19" spans="1:120" s="28" customFormat="1" ht="16" customHeight="1">
      <c r="A19" s="39"/>
      <c r="B19" s="57"/>
      <c r="C19" s="57"/>
      <c r="D19" s="67"/>
      <c r="E19" s="67"/>
      <c r="F19" s="67"/>
      <c r="G19" s="67"/>
      <c r="H19" s="60">
        <v>60.45</v>
      </c>
      <c r="I19" s="60">
        <v>1.03</v>
      </c>
      <c r="J19" s="60">
        <v>19.91</v>
      </c>
      <c r="K19" s="60">
        <v>0.02</v>
      </c>
      <c r="L19" s="69">
        <v>0.85</v>
      </c>
      <c r="M19" s="59">
        <v>7</v>
      </c>
      <c r="N19" s="60">
        <f>L19*1/((159.69/71.844)/2)+M19</f>
        <v>7.764824347172647</v>
      </c>
      <c r="O19" s="60"/>
      <c r="P19" s="60">
        <v>1.87</v>
      </c>
      <c r="Q19" s="60"/>
      <c r="R19" s="60"/>
      <c r="S19" s="60">
        <v>0.48</v>
      </c>
      <c r="T19" s="60">
        <v>0.56999999999999995</v>
      </c>
      <c r="U19" s="60">
        <v>3.83</v>
      </c>
      <c r="V19" s="60"/>
      <c r="W19" s="60"/>
      <c r="X19" s="60"/>
      <c r="Y19" s="60"/>
      <c r="Z19" s="60">
        <v>3.12</v>
      </c>
      <c r="AA19" s="70"/>
      <c r="AB19" s="86">
        <v>0</v>
      </c>
      <c r="AC19" s="86">
        <v>0</v>
      </c>
      <c r="AD19" s="86">
        <v>100</v>
      </c>
      <c r="AE19" s="86"/>
      <c r="AF19" s="71">
        <f t="shared" si="73"/>
        <v>9.8498602540975339E-2</v>
      </c>
      <c r="AG19" s="97">
        <v>3.12</v>
      </c>
      <c r="AH19" s="97">
        <f>AO19-AI19</f>
        <v>2.343</v>
      </c>
      <c r="AI19" s="97"/>
      <c r="AJ19" s="97">
        <v>0.7</v>
      </c>
      <c r="AK19" s="97"/>
      <c r="AL19" s="97"/>
      <c r="AM19" s="97"/>
      <c r="AN19" s="97"/>
      <c r="AO19" s="60">
        <f t="shared" si="74"/>
        <v>2.343</v>
      </c>
      <c r="AP19" s="124">
        <f t="shared" si="75"/>
        <v>99.13</v>
      </c>
      <c r="AQ19" s="126"/>
      <c r="AR19" s="126"/>
      <c r="AS19" s="140">
        <f t="shared" si="76"/>
        <v>0.7</v>
      </c>
      <c r="AT19" s="140">
        <f t="shared" si="77"/>
        <v>0</v>
      </c>
      <c r="AU19" s="140">
        <f t="shared" si="78"/>
        <v>5.4889177737075885</v>
      </c>
      <c r="AV19" s="140">
        <f t="shared" si="79"/>
        <v>0.59973383154744819</v>
      </c>
      <c r="AW19" s="140">
        <f t="shared" si="80"/>
        <v>0</v>
      </c>
      <c r="AX19" s="140">
        <f t="shared" si="81"/>
        <v>0</v>
      </c>
      <c r="AY19" s="140">
        <f t="shared" si="82"/>
        <v>0</v>
      </c>
      <c r="AZ19" s="126"/>
      <c r="BA19" s="68" t="s">
        <v>146</v>
      </c>
      <c r="BB19" s="124"/>
      <c r="BC19" s="96" t="s">
        <v>96</v>
      </c>
      <c r="BD19" s="124"/>
      <c r="BE19" s="50">
        <f t="shared" si="83"/>
        <v>100</v>
      </c>
      <c r="BF19" s="50">
        <f t="shared" si="84"/>
        <v>68.318026440838636</v>
      </c>
      <c r="BG19" s="51"/>
      <c r="BH19" s="12"/>
      <c r="BI19" s="76">
        <f t="shared" si="85"/>
        <v>34.524826240142062</v>
      </c>
      <c r="BJ19" s="76">
        <f t="shared" si="86"/>
        <v>0.44245009104288513</v>
      </c>
      <c r="BK19" s="76">
        <f t="shared" si="87"/>
        <v>13.400979696122747</v>
      </c>
      <c r="BL19" s="76">
        <f t="shared" si="88"/>
        <v>9.0304646441368222E-3</v>
      </c>
      <c r="BM19" s="76">
        <f t="shared" si="89"/>
        <v>3.3430000865819385</v>
      </c>
      <c r="BN19" s="77">
        <f t="shared" si="90"/>
        <v>0.36528876982685277</v>
      </c>
      <c r="BO19" s="76">
        <f t="shared" si="91"/>
        <v>0</v>
      </c>
      <c r="BP19" s="76">
        <f t="shared" si="92"/>
        <v>1.5922148888093088</v>
      </c>
      <c r="BQ19" s="76">
        <f t="shared" si="93"/>
        <v>0</v>
      </c>
      <c r="BR19" s="76">
        <f t="shared" si="94"/>
        <v>0</v>
      </c>
      <c r="BS19" s="76">
        <f t="shared" si="95"/>
        <v>0.29369621710321447</v>
      </c>
      <c r="BT19" s="76">
        <f t="shared" si="96"/>
        <v>0.63112938296187704</v>
      </c>
      <c r="BU19" s="76">
        <f t="shared" si="97"/>
        <v>2.7902491668974645</v>
      </c>
      <c r="BV19" s="76">
        <f t="shared" si="98"/>
        <v>0</v>
      </c>
      <c r="BW19" s="76">
        <f t="shared" si="99"/>
        <v>1.9997881626918015</v>
      </c>
      <c r="BX19" s="76">
        <f t="shared" si="100"/>
        <v>0</v>
      </c>
      <c r="BY19" s="78">
        <f t="shared" si="101"/>
        <v>0</v>
      </c>
      <c r="BZ19" s="76">
        <f t="shared" si="102"/>
        <v>0</v>
      </c>
      <c r="CA19" s="76">
        <f t="shared" si="103"/>
        <v>4.4626866370071676</v>
      </c>
      <c r="CB19" s="76">
        <f t="shared" si="104"/>
        <v>52.9996822440377</v>
      </c>
      <c r="CC19" s="12">
        <f t="shared" si="105"/>
        <v>68.318026440838636</v>
      </c>
      <c r="CD19" s="12">
        <f>IF(BC19="mol/kg",BY19+BZ19+2*CB19,
BI19*2+BJ19*2+BK19*3/2+BL19*3/2+BM19+BN19*3/2+BO19+BP19+BQ19+BR19+BS19+BT19/2+BU19/2+BV19*5+BW19*2 + BY19+BZ19+CA19- 3*AJ19/12.011*BE19/(H19*2/60.08+I19*2/79.88+J19*3/101.96+K19*3/151.99+L19*3/159.69+M19/71.85+O19/70.94+P19/40.3+Q19/74.69+R19/81.38+S19/56.08+T19/61.98+U19/94.2+V19*5/141.944522+W19*3/80.06+X19/18.9984+Y19/35.453+AI19/44.01*2-AS19/12.011-AW19/32.065-2*AX19/32.065+AY19*3/32.065+AH19/18.01528))</f>
        <v>100</v>
      </c>
      <c r="CE19" s="12"/>
      <c r="CF19" s="67" t="str">
        <f t="shared" si="106"/>
        <v>mol % oxide O2</v>
      </c>
      <c r="CG19" s="81">
        <f t="shared" si="107"/>
        <v>64.492933517708579</v>
      </c>
      <c r="CH19" s="81">
        <f t="shared" si="108"/>
        <v>0.82670383976749606</v>
      </c>
      <c r="CI19" s="81">
        <f t="shared" si="109"/>
        <v>12.517333914360728</v>
      </c>
      <c r="CJ19" s="81">
        <f t="shared" si="110"/>
        <v>8.4350885203703131E-3</v>
      </c>
      <c r="CK19" s="81">
        <f t="shared" si="111"/>
        <v>6.9281262865716755</v>
      </c>
      <c r="CL19" s="81">
        <f t="shared" si="112"/>
        <v>0</v>
      </c>
      <c r="CM19" s="81">
        <f t="shared" si="113"/>
        <v>2.9741859677385953</v>
      </c>
      <c r="CN19" s="81">
        <f t="shared" si="114"/>
        <v>0</v>
      </c>
      <c r="CO19" s="81">
        <f t="shared" si="115"/>
        <v>0</v>
      </c>
      <c r="CP19" s="81">
        <f t="shared" si="116"/>
        <v>0.54869516024512766</v>
      </c>
      <c r="CQ19" s="81">
        <f t="shared" si="117"/>
        <v>0.58952870278668423</v>
      </c>
      <c r="CR19" s="81">
        <f t="shared" si="118"/>
        <v>2.6063994591747277</v>
      </c>
      <c r="CS19" s="81">
        <f t="shared" si="119"/>
        <v>0</v>
      </c>
      <c r="CT19" s="81">
        <f t="shared" si="120"/>
        <v>0</v>
      </c>
      <c r="CU19" s="81">
        <f t="shared" si="121"/>
        <v>0</v>
      </c>
      <c r="CV19" s="81">
        <f t="shared" si="122"/>
        <v>0</v>
      </c>
      <c r="CW19" s="81">
        <f t="shared" si="123"/>
        <v>0</v>
      </c>
      <c r="CX19" s="81">
        <f t="shared" si="124"/>
        <v>8.3370553737623361</v>
      </c>
      <c r="CY19" s="81">
        <f t="shared" si="125"/>
        <v>0.17060268936367673</v>
      </c>
      <c r="CZ19" s="81"/>
      <c r="DA19" s="67" t="s">
        <v>280</v>
      </c>
      <c r="DB19" s="60">
        <f t="shared" si="126"/>
        <v>69.049652480284124</v>
      </c>
      <c r="DC19" s="60">
        <f t="shared" si="126"/>
        <v>0.88490018208577026</v>
      </c>
      <c r="DD19" s="67">
        <f t="shared" si="127"/>
        <v>20.10146954418412</v>
      </c>
      <c r="DE19" s="67">
        <f t="shared" si="127"/>
        <v>1.3545696966205233E-2</v>
      </c>
      <c r="DF19" s="94">
        <f t="shared" si="128"/>
        <v>3.7082888564087915</v>
      </c>
      <c r="DG19" s="94">
        <f t="shared" si="129"/>
        <v>0</v>
      </c>
      <c r="DH19" s="95">
        <f t="shared" si="129"/>
        <v>1.5922148888093088</v>
      </c>
      <c r="DI19" s="94">
        <f t="shared" si="129"/>
        <v>0</v>
      </c>
      <c r="DJ19" s="94">
        <f t="shared" si="129"/>
        <v>0</v>
      </c>
      <c r="DK19" s="94">
        <f t="shared" si="129"/>
        <v>0.29369621710321447</v>
      </c>
      <c r="DL19" s="94">
        <f t="shared" si="129"/>
        <v>0.63112938296187704</v>
      </c>
      <c r="DM19" s="94">
        <f t="shared" si="129"/>
        <v>2.7902491668974645</v>
      </c>
      <c r="DN19" s="94">
        <f t="shared" si="130"/>
        <v>0</v>
      </c>
      <c r="DO19" s="94">
        <f t="shared" si="131"/>
        <v>4.4626866370071676</v>
      </c>
      <c r="DP19" s="94">
        <f t="shared" si="132"/>
        <v>105.9993644880754</v>
      </c>
    </row>
    <row r="20" spans="1:120" s="28" customFormat="1" ht="16" customHeight="1">
      <c r="A20" s="39"/>
      <c r="B20" s="57"/>
      <c r="C20" s="57" t="s">
        <v>307</v>
      </c>
      <c r="D20" s="67"/>
      <c r="E20" s="67"/>
      <c r="F20" s="67"/>
      <c r="G20" s="67"/>
      <c r="H20" s="60">
        <v>45.12</v>
      </c>
      <c r="I20" s="60">
        <v>0.26</v>
      </c>
      <c r="J20" s="60">
        <v>18.559999999999999</v>
      </c>
      <c r="K20" s="60">
        <v>0.05</v>
      </c>
      <c r="L20" s="69"/>
      <c r="M20" s="99">
        <f>N20</f>
        <v>6.74</v>
      </c>
      <c r="N20" s="60">
        <v>6.74</v>
      </c>
      <c r="O20" s="60">
        <v>0.13</v>
      </c>
      <c r="P20" s="60">
        <v>9.89</v>
      </c>
      <c r="Q20" s="60"/>
      <c r="R20" s="60"/>
      <c r="S20" s="60">
        <v>15.46</v>
      </c>
      <c r="T20" s="60">
        <v>0.86</v>
      </c>
      <c r="U20" s="60">
        <v>0.04</v>
      </c>
      <c r="V20" s="60">
        <v>0.02</v>
      </c>
      <c r="W20" s="60"/>
      <c r="X20" s="60"/>
      <c r="Y20" s="60"/>
      <c r="Z20" s="60">
        <v>1.62</v>
      </c>
      <c r="AA20" s="70"/>
      <c r="AB20" s="86">
        <v>0</v>
      </c>
      <c r="AC20" s="86">
        <v>0</v>
      </c>
      <c r="AD20" s="86">
        <v>100</v>
      </c>
      <c r="AE20" s="86"/>
      <c r="AF20" s="71">
        <f t="shared" si="73"/>
        <v>0</v>
      </c>
      <c r="AG20" s="97"/>
      <c r="AH20" s="97">
        <f>AO20-AI20</f>
        <v>0.87186000000000008</v>
      </c>
      <c r="AI20" s="97"/>
      <c r="AJ20" s="97"/>
      <c r="AK20" s="97"/>
      <c r="AL20" s="97"/>
      <c r="AM20" s="97"/>
      <c r="AN20" s="97"/>
      <c r="AO20" s="60">
        <f t="shared" si="74"/>
        <v>0.87186000000000008</v>
      </c>
      <c r="AP20" s="124">
        <f t="shared" si="75"/>
        <v>97.129999999999981</v>
      </c>
      <c r="AQ20" s="126"/>
      <c r="AR20" s="126"/>
      <c r="AS20" s="140">
        <f t="shared" si="76"/>
        <v>0</v>
      </c>
      <c r="AT20" s="140">
        <f t="shared" si="77"/>
        <v>0</v>
      </c>
      <c r="AU20" s="140">
        <f t="shared" si="78"/>
        <v>5.3938678110888931</v>
      </c>
      <c r="AV20" s="140">
        <f t="shared" si="79"/>
        <v>0</v>
      </c>
      <c r="AW20" s="140">
        <f t="shared" si="80"/>
        <v>0</v>
      </c>
      <c r="AX20" s="140">
        <f t="shared" si="81"/>
        <v>0</v>
      </c>
      <c r="AY20" s="140">
        <f t="shared" si="82"/>
        <v>0</v>
      </c>
      <c r="AZ20" s="126"/>
      <c r="BA20" s="68" t="s">
        <v>146</v>
      </c>
      <c r="BB20" s="124"/>
      <c r="BC20" s="96" t="s">
        <v>302</v>
      </c>
      <c r="BD20" s="124"/>
      <c r="BE20" s="50" t="str">
        <f t="shared" si="83"/>
        <v/>
      </c>
      <c r="BF20" s="50" t="str">
        <f t="shared" si="84"/>
        <v/>
      </c>
      <c r="BG20" s="51"/>
      <c r="BH20" s="12"/>
      <c r="BI20" s="76">
        <f t="shared" si="85"/>
        <v>7.7318919843722576</v>
      </c>
      <c r="BJ20" s="76">
        <f t="shared" si="86"/>
        <v>3.3510576788687622E-2</v>
      </c>
      <c r="BK20" s="76">
        <f t="shared" si="87"/>
        <v>3.7482172238901841</v>
      </c>
      <c r="BL20" s="76">
        <f t="shared" si="88"/>
        <v>6.7737879361505736E-3</v>
      </c>
      <c r="BM20" s="76">
        <f t="shared" si="89"/>
        <v>0.96578339756724352</v>
      </c>
      <c r="BN20" s="77" t="str">
        <f t="shared" si="90"/>
        <v>-</v>
      </c>
      <c r="BO20" s="76">
        <f t="shared" si="91"/>
        <v>1.8866823187766897E-2</v>
      </c>
      <c r="BP20" s="76">
        <f t="shared" si="92"/>
        <v>2.5266079407021218</v>
      </c>
      <c r="BQ20" s="76">
        <f t="shared" si="93"/>
        <v>0</v>
      </c>
      <c r="BR20" s="76">
        <f t="shared" si="94"/>
        <v>0</v>
      </c>
      <c r="BS20" s="76">
        <f t="shared" si="95"/>
        <v>2.8382333308316743</v>
      </c>
      <c r="BT20" s="76">
        <f t="shared" si="96"/>
        <v>0.28570871391976516</v>
      </c>
      <c r="BU20" s="76">
        <f t="shared" si="97"/>
        <v>8.7435076723186914E-3</v>
      </c>
      <c r="BV20" s="76">
        <f t="shared" si="98"/>
        <v>2.9012687884229188E-3</v>
      </c>
      <c r="BW20" s="76">
        <f t="shared" si="99"/>
        <v>0</v>
      </c>
      <c r="BX20" s="76">
        <f t="shared" si="100"/>
        <v>0</v>
      </c>
      <c r="BY20" s="78">
        <f t="shared" si="101"/>
        <v>0</v>
      </c>
      <c r="BZ20" s="76">
        <f t="shared" si="102"/>
        <v>0</v>
      </c>
      <c r="CA20" s="76">
        <f t="shared" si="103"/>
        <v>0.49825578289893935</v>
      </c>
      <c r="CB20" s="76">
        <f t="shared" si="104"/>
        <v>14.073366015767233</v>
      </c>
      <c r="CC20" s="12">
        <f t="shared" si="105"/>
        <v>19.16375012145447</v>
      </c>
      <c r="CD20" s="12">
        <f>IF(BC20="mol/kg",BY20+BZ20+2*CB20,
BI20*2+BJ20*2+BK20*3/2+BL20*3/2+BM20+BN20*3/2+BO20+BP20+BQ20+BR20+BS20+BT20/2+BU20/2+BV20*5+BW20*2 + BY20+BZ20+CA20- 3*AJ20/12.011*BE20/(H20*2/60.08+I20*2/79.88+J20*3/101.96+K20*3/151.99+L20*3/159.69+M20/71.85+O20/70.94+P20/40.3+Q20/74.69+R20/81.38+S20/56.08+T20/61.98+U20/94.2+V20*5/141.944522+W20*3/80.06+X20/18.9984+Y20/35.453+AI20/44.01*2-AS20/12.011-AW20/32.065-2*AX20/32.065+AY20*3/32.065+AH20/18.01528))</f>
        <v>28.146732031534466</v>
      </c>
      <c r="CE20" s="12"/>
      <c r="CF20" s="67" t="str">
        <f t="shared" si="106"/>
        <v>mol % oxide O2</v>
      </c>
      <c r="CG20" s="81">
        <f t="shared" si="107"/>
        <v>46.470040572887541</v>
      </c>
      <c r="CH20" s="81">
        <f t="shared" si="108"/>
        <v>0.20145321944375336</v>
      </c>
      <c r="CI20" s="81">
        <f t="shared" si="109"/>
        <v>11.264364203175706</v>
      </c>
      <c r="CJ20" s="81">
        <f t="shared" si="110"/>
        <v>2.0357188003379274E-2</v>
      </c>
      <c r="CK20" s="81">
        <f t="shared" si="111"/>
        <v>5.805400559888251</v>
      </c>
      <c r="CL20" s="81">
        <f t="shared" si="112"/>
        <v>0.11340529500891498</v>
      </c>
      <c r="CM20" s="81">
        <f t="shared" si="113"/>
        <v>15.184865152752314</v>
      </c>
      <c r="CN20" s="81">
        <f t="shared" si="114"/>
        <v>0</v>
      </c>
      <c r="CO20" s="81">
        <f t="shared" si="115"/>
        <v>0</v>
      </c>
      <c r="CP20" s="81">
        <f t="shared" si="116"/>
        <v>17.060333474200014</v>
      </c>
      <c r="CQ20" s="81">
        <f t="shared" si="117"/>
        <v>0.85865100888523849</v>
      </c>
      <c r="CR20" s="81">
        <f t="shared" si="118"/>
        <v>2.6277880204115808E-2</v>
      </c>
      <c r="CS20" s="81">
        <f t="shared" si="119"/>
        <v>8.7192436531103781E-3</v>
      </c>
      <c r="CT20" s="81">
        <f t="shared" si="120"/>
        <v>0</v>
      </c>
      <c r="CU20" s="81">
        <f t="shared" si="121"/>
        <v>0</v>
      </c>
      <c r="CV20" s="81">
        <f t="shared" si="122"/>
        <v>0</v>
      </c>
      <c r="CW20" s="81">
        <f t="shared" si="123"/>
        <v>0</v>
      </c>
      <c r="CX20" s="81">
        <f t="shared" si="124"/>
        <v>2.9948514455507795</v>
      </c>
      <c r="CY20" s="81">
        <f t="shared" si="125"/>
        <v>0</v>
      </c>
      <c r="CZ20" s="81"/>
      <c r="DA20" s="67" t="s">
        <v>280</v>
      </c>
      <c r="DB20" s="60">
        <f t="shared" si="126"/>
        <v>15.463783968744515</v>
      </c>
      <c r="DC20" s="60">
        <f t="shared" si="126"/>
        <v>6.7021153577375245E-2</v>
      </c>
      <c r="DD20" s="67">
        <f t="shared" si="127"/>
        <v>5.6223258358352766</v>
      </c>
      <c r="DE20" s="67">
        <f t="shared" si="127"/>
        <v>1.016068190422586E-2</v>
      </c>
      <c r="DF20" s="94" t="e">
        <f t="shared" si="128"/>
        <v>#VALUE!</v>
      </c>
      <c r="DG20" s="94">
        <f t="shared" si="129"/>
        <v>1.8866823187766897E-2</v>
      </c>
      <c r="DH20" s="95">
        <f t="shared" si="129"/>
        <v>2.5266079407021218</v>
      </c>
      <c r="DI20" s="94">
        <f t="shared" si="129"/>
        <v>0</v>
      </c>
      <c r="DJ20" s="94">
        <f t="shared" si="129"/>
        <v>0</v>
      </c>
      <c r="DK20" s="94">
        <f t="shared" si="129"/>
        <v>2.8382333308316743</v>
      </c>
      <c r="DL20" s="94">
        <f t="shared" si="129"/>
        <v>0.28570871391976516</v>
      </c>
      <c r="DM20" s="94">
        <f t="shared" si="129"/>
        <v>8.7435076723186914E-3</v>
      </c>
      <c r="DN20" s="94">
        <f t="shared" si="130"/>
        <v>7.2531719710572972E-3</v>
      </c>
      <c r="DO20" s="94">
        <f t="shared" si="131"/>
        <v>0.49825578289893935</v>
      </c>
      <c r="DP20" s="94">
        <f t="shared" si="132"/>
        <v>28.146732031534466</v>
      </c>
    </row>
    <row r="21" spans="1:120" s="28" customFormat="1" ht="16" customHeight="1">
      <c r="A21" s="39"/>
      <c r="B21" s="57" t="s">
        <v>309</v>
      </c>
      <c r="C21" s="57" t="s">
        <v>307</v>
      </c>
      <c r="D21" s="67"/>
      <c r="E21" s="67"/>
      <c r="F21" s="67"/>
      <c r="G21" s="67"/>
      <c r="H21" s="60">
        <v>45.12</v>
      </c>
      <c r="I21" s="60">
        <v>0.26</v>
      </c>
      <c r="J21" s="60">
        <v>18.559999999999999</v>
      </c>
      <c r="K21" s="60">
        <v>0.05</v>
      </c>
      <c r="L21" s="69">
        <v>1.9968295473903968</v>
      </c>
      <c r="M21" s="99">
        <v>4.9431159999999998</v>
      </c>
      <c r="N21" s="60">
        <v>6.74</v>
      </c>
      <c r="O21" s="60">
        <v>0.13</v>
      </c>
      <c r="P21" s="60">
        <v>9.89</v>
      </c>
      <c r="Q21" s="60"/>
      <c r="R21" s="60"/>
      <c r="S21" s="60">
        <v>15.46</v>
      </c>
      <c r="T21" s="60">
        <v>0.86</v>
      </c>
      <c r="U21" s="60">
        <v>0.04</v>
      </c>
      <c r="V21" s="60">
        <v>0.02</v>
      </c>
      <c r="W21" s="60"/>
      <c r="X21" s="60"/>
      <c r="Y21" s="60"/>
      <c r="Z21" s="60">
        <v>1.62</v>
      </c>
      <c r="AA21" s="70"/>
      <c r="AB21" s="86">
        <v>0</v>
      </c>
      <c r="AC21" s="86">
        <v>0</v>
      </c>
      <c r="AD21" s="86">
        <v>100</v>
      </c>
      <c r="AE21" s="86"/>
      <c r="AF21" s="71">
        <f t="shared" si="73"/>
        <v>0.26657773695198328</v>
      </c>
      <c r="AG21" s="97"/>
      <c r="AH21" s="97">
        <f>AO21-AI21</f>
        <v>1.0713141240000001</v>
      </c>
      <c r="AI21" s="97"/>
      <c r="AJ21" s="97"/>
      <c r="AK21" s="97"/>
      <c r="AL21" s="97"/>
      <c r="AM21" s="97"/>
      <c r="AN21" s="97"/>
      <c r="AO21" s="60">
        <f t="shared" si="74"/>
        <v>1.0713141240000001</v>
      </c>
      <c r="AP21" s="124">
        <f t="shared" si="75"/>
        <v>97.329945547390381</v>
      </c>
      <c r="AQ21" s="126"/>
      <c r="AR21" s="126"/>
      <c r="AS21" s="140">
        <f t="shared" si="76"/>
        <v>0</v>
      </c>
      <c r="AT21" s="140">
        <f t="shared" si="77"/>
        <v>0</v>
      </c>
      <c r="AU21" s="140">
        <f t="shared" si="78"/>
        <v>3.9477360979829337</v>
      </c>
      <c r="AV21" s="140">
        <f t="shared" si="79"/>
        <v>1.4349581754273644</v>
      </c>
      <c r="AW21" s="140">
        <f t="shared" si="80"/>
        <v>0</v>
      </c>
      <c r="AX21" s="140">
        <f t="shared" si="81"/>
        <v>0</v>
      </c>
      <c r="AY21" s="140">
        <f t="shared" si="82"/>
        <v>0</v>
      </c>
      <c r="AZ21" s="126"/>
      <c r="BA21" s="68" t="s">
        <v>146</v>
      </c>
      <c r="BB21" s="124"/>
      <c r="BC21" s="96" t="s">
        <v>302</v>
      </c>
      <c r="BD21" s="124"/>
      <c r="BE21" s="50" t="str">
        <f t="shared" si="83"/>
        <v/>
      </c>
      <c r="BF21" s="50" t="str">
        <f t="shared" si="84"/>
        <v/>
      </c>
      <c r="BG21" s="51"/>
      <c r="BH21" s="12"/>
      <c r="BI21" s="76">
        <f t="shared" si="85"/>
        <v>7.7160083078071038</v>
      </c>
      <c r="BJ21" s="76">
        <f t="shared" si="86"/>
        <v>3.3441735790352534E-2</v>
      </c>
      <c r="BK21" s="76">
        <f t="shared" si="87"/>
        <v>3.7405172365907569</v>
      </c>
      <c r="BL21" s="76">
        <f t="shared" si="88"/>
        <v>6.7598724990342481E-3</v>
      </c>
      <c r="BM21" s="76">
        <f t="shared" si="89"/>
        <v>0.96379938238053897</v>
      </c>
      <c r="BN21" s="77" t="str">
        <f t="shared" si="90"/>
        <v>-</v>
      </c>
      <c r="BO21" s="76">
        <f t="shared" si="91"/>
        <v>1.88280649487832E-2</v>
      </c>
      <c r="BP21" s="76">
        <f t="shared" si="92"/>
        <v>2.5214175133890948</v>
      </c>
      <c r="BQ21" s="76">
        <f t="shared" si="93"/>
        <v>0</v>
      </c>
      <c r="BR21" s="76">
        <f t="shared" si="94"/>
        <v>0</v>
      </c>
      <c r="BS21" s="76">
        <f t="shared" si="95"/>
        <v>2.8324027294297811</v>
      </c>
      <c r="BT21" s="76">
        <f t="shared" si="96"/>
        <v>0.28512178062932086</v>
      </c>
      <c r="BU21" s="76">
        <f t="shared" si="97"/>
        <v>8.7255458269912146E-3</v>
      </c>
      <c r="BV21" s="76">
        <f t="shared" si="98"/>
        <v>2.8953086928658381E-3</v>
      </c>
      <c r="BW21" s="76">
        <f t="shared" si="99"/>
        <v>0</v>
      </c>
      <c r="BX21" s="76">
        <f t="shared" si="100"/>
        <v>0</v>
      </c>
      <c r="BY21" s="78">
        <f t="shared" si="101"/>
        <v>0</v>
      </c>
      <c r="BZ21" s="76">
        <f t="shared" si="102"/>
        <v>0</v>
      </c>
      <c r="CA21" s="76">
        <f t="shared" si="103"/>
        <v>0.61098329140521146</v>
      </c>
      <c r="CB21" s="76">
        <f t="shared" si="104"/>
        <v>14.165560666513761</v>
      </c>
      <c r="CC21" s="12">
        <f t="shared" si="105"/>
        <v>19.351884060795051</v>
      </c>
      <c r="CD21" s="12">
        <f>IF(BC21="mol/kg",BY21+BZ21+2*CB21,
BI21*2+BJ21*2+BK21*3/2+BL21*3/2+BM21+BN21*3/2+BO21+BP21+BQ21+BR21+BS21+BT21/2+BU21/2+BV21*5+BW21*2 + BY21+BZ21+CA21- 3*AJ21/12.011*BE21/(H21*2/60.08+I21*2/79.88+J21*3/101.96+K21*3/151.99+L21*3/159.69+M21/71.85+O21/70.94+P21/40.3+Q21/74.69+R21/81.38+S21/56.08+T21/61.98+U21/94.2+V21*5/141.944522+W21*3/80.06+X21/18.9984+Y21/35.453+AI21/44.01*2-AS21/12.011-AW21/32.065-2*AX21/32.065+AY21*3/32.065+AH21/18.01528))</f>
        <v>28.331121333027522</v>
      </c>
      <c r="CE21" s="12"/>
      <c r="CF21" s="67" t="str">
        <f t="shared" si="106"/>
        <v>mol % oxide O2</v>
      </c>
      <c r="CG21" s="81">
        <f t="shared" si="107"/>
        <v>45.977212610172543</v>
      </c>
      <c r="CH21" s="81">
        <f t="shared" si="108"/>
        <v>0.19931675090409023</v>
      </c>
      <c r="CI21" s="81">
        <f t="shared" si="109"/>
        <v>11.144902425370207</v>
      </c>
      <c r="CJ21" s="81">
        <f t="shared" si="110"/>
        <v>2.014129424975589E-2</v>
      </c>
      <c r="CK21" s="81">
        <f t="shared" si="111"/>
        <v>5.7437047648754236</v>
      </c>
      <c r="CL21" s="81">
        <f t="shared" si="112"/>
        <v>0.11220259968497448</v>
      </c>
      <c r="CM21" s="81">
        <f t="shared" si="113"/>
        <v>15.023825350224165</v>
      </c>
      <c r="CN21" s="81">
        <f t="shared" si="114"/>
        <v>0</v>
      </c>
      <c r="CO21" s="81">
        <f t="shared" si="115"/>
        <v>0</v>
      </c>
      <c r="CP21" s="81">
        <f t="shared" si="116"/>
        <v>16.879403798097389</v>
      </c>
      <c r="CQ21" s="81">
        <f t="shared" si="117"/>
        <v>0.8495447713572476</v>
      </c>
      <c r="CR21" s="81">
        <f t="shared" si="118"/>
        <v>2.5999195830144785E-2</v>
      </c>
      <c r="CS21" s="81">
        <f t="shared" si="119"/>
        <v>8.6267736007281746E-3</v>
      </c>
      <c r="CT21" s="81">
        <f t="shared" si="120"/>
        <v>0</v>
      </c>
      <c r="CU21" s="81">
        <f t="shared" si="121"/>
        <v>0</v>
      </c>
      <c r="CV21" s="81">
        <f t="shared" si="122"/>
        <v>0</v>
      </c>
      <c r="CW21" s="81">
        <f t="shared" si="123"/>
        <v>0</v>
      </c>
      <c r="CX21" s="81">
        <f t="shared" si="124"/>
        <v>3.6409519625770459</v>
      </c>
      <c r="CY21" s="81">
        <f t="shared" si="125"/>
        <v>0.38279447665701777</v>
      </c>
      <c r="CZ21" s="81"/>
      <c r="DA21" s="67" t="s">
        <v>280</v>
      </c>
      <c r="DB21" s="60">
        <f t="shared" si="126"/>
        <v>15.432016615614208</v>
      </c>
      <c r="DC21" s="60">
        <f t="shared" si="126"/>
        <v>6.6883471580705067E-2</v>
      </c>
      <c r="DD21" s="67">
        <f t="shared" si="127"/>
        <v>5.6107758548861355</v>
      </c>
      <c r="DE21" s="67">
        <f t="shared" si="127"/>
        <v>1.0139808748551372E-2</v>
      </c>
      <c r="DF21" s="94" t="e">
        <f t="shared" si="128"/>
        <v>#VALUE!</v>
      </c>
      <c r="DG21" s="94">
        <f t="shared" si="129"/>
        <v>1.88280649487832E-2</v>
      </c>
      <c r="DH21" s="95">
        <f t="shared" si="129"/>
        <v>2.5214175133890948</v>
      </c>
      <c r="DI21" s="94">
        <f t="shared" si="129"/>
        <v>0</v>
      </c>
      <c r="DJ21" s="94">
        <f t="shared" si="129"/>
        <v>0</v>
      </c>
      <c r="DK21" s="94">
        <f t="shared" si="129"/>
        <v>2.8324027294297811</v>
      </c>
      <c r="DL21" s="94">
        <f t="shared" si="129"/>
        <v>0.28512178062932086</v>
      </c>
      <c r="DM21" s="94">
        <f t="shared" si="129"/>
        <v>8.7255458269912146E-3</v>
      </c>
      <c r="DN21" s="94">
        <f t="shared" si="130"/>
        <v>7.2382717321645956E-3</v>
      </c>
      <c r="DO21" s="94">
        <f t="shared" si="131"/>
        <v>0.61098329140521146</v>
      </c>
      <c r="DP21" s="94">
        <f t="shared" si="132"/>
        <v>28.331121333027522</v>
      </c>
    </row>
    <row r="22" spans="1:120" ht="16" customHeight="1">
      <c r="C22" s="57" t="s">
        <v>308</v>
      </c>
      <c r="H22" s="39">
        <v>51.24</v>
      </c>
      <c r="I22" s="39">
        <v>0.66</v>
      </c>
      <c r="J22" s="39">
        <v>17.559999999999999</v>
      </c>
      <c r="L22" s="58">
        <v>2.74</v>
      </c>
      <c r="M22" s="59">
        <v>6.81</v>
      </c>
      <c r="N22" s="60">
        <f>L22*1/((159.69/71.844)/2)+M22</f>
        <v>9.2754337779447678</v>
      </c>
      <c r="O22" s="39">
        <v>0.15</v>
      </c>
      <c r="P22" s="39">
        <v>5.27</v>
      </c>
      <c r="S22" s="60">
        <v>9.73</v>
      </c>
      <c r="T22" s="60">
        <v>3.14</v>
      </c>
      <c r="U22" s="60">
        <v>0.36</v>
      </c>
      <c r="V22" s="60"/>
      <c r="W22" s="60"/>
      <c r="X22" s="60"/>
      <c r="Y22" s="60"/>
      <c r="Z22" s="60">
        <v>0.19</v>
      </c>
      <c r="AB22" s="86">
        <v>0</v>
      </c>
      <c r="AC22" s="86">
        <v>0</v>
      </c>
      <c r="AD22" s="86">
        <v>100</v>
      </c>
      <c r="AE22" s="86"/>
      <c r="AF22" s="71">
        <f t="shared" si="73"/>
        <v>0.26580253139288262</v>
      </c>
      <c r="AH22" s="97">
        <v>0.19</v>
      </c>
      <c r="AO22" s="60">
        <f t="shared" si="74"/>
        <v>-0.56590999999999991</v>
      </c>
      <c r="AP22" s="124">
        <f t="shared" si="75"/>
        <v>97.660000000000011</v>
      </c>
      <c r="AQ22" s="126"/>
      <c r="AR22" s="126"/>
      <c r="AS22" s="140">
        <f t="shared" si="76"/>
        <v>0</v>
      </c>
      <c r="AT22" s="140">
        <f t="shared" si="77"/>
        <v>0</v>
      </c>
      <c r="AU22" s="140">
        <f t="shared" si="78"/>
        <v>5.4203107175930807</v>
      </c>
      <c r="AV22" s="140">
        <f t="shared" si="79"/>
        <v>1.9623594985767909</v>
      </c>
      <c r="AW22" s="140">
        <f t="shared" si="80"/>
        <v>0</v>
      </c>
      <c r="AX22" s="140">
        <f t="shared" si="81"/>
        <v>0</v>
      </c>
      <c r="AY22" s="140">
        <f t="shared" si="82"/>
        <v>0</v>
      </c>
      <c r="AZ22" s="126"/>
      <c r="BA22" s="68" t="s">
        <v>146</v>
      </c>
      <c r="BB22" s="124"/>
      <c r="BC22" s="96" t="s">
        <v>302</v>
      </c>
      <c r="BD22" s="124"/>
      <c r="BE22" s="50" t="str">
        <f t="shared" si="83"/>
        <v/>
      </c>
      <c r="BF22" s="50" t="str">
        <f t="shared" si="84"/>
        <v/>
      </c>
      <c r="BG22" s="51"/>
      <c r="BH22" s="12"/>
      <c r="BI22" s="76">
        <f t="shared" si="85"/>
        <v>8.7329802327867565</v>
      </c>
      <c r="BJ22" s="76">
        <f t="shared" si="86"/>
        <v>8.4603661584943465E-2</v>
      </c>
      <c r="BK22" s="76">
        <f t="shared" si="87"/>
        <v>3.5270203097720074</v>
      </c>
      <c r="BL22" s="76">
        <f t="shared" si="88"/>
        <v>0</v>
      </c>
      <c r="BM22" s="76">
        <f t="shared" si="89"/>
        <v>1.3219054015492009</v>
      </c>
      <c r="BN22" s="77" t="str">
        <f t="shared" si="90"/>
        <v>-</v>
      </c>
      <c r="BO22" s="76">
        <f t="shared" si="91"/>
        <v>2.1651268957778927E-2</v>
      </c>
      <c r="BP22" s="76">
        <f t="shared" si="92"/>
        <v>1.3390255044975503</v>
      </c>
      <c r="BQ22" s="76">
        <f t="shared" si="93"/>
        <v>0</v>
      </c>
      <c r="BR22" s="76">
        <f t="shared" si="94"/>
        <v>0</v>
      </c>
      <c r="BS22" s="76">
        <f t="shared" si="95"/>
        <v>1.7765936903572117</v>
      </c>
      <c r="BT22" s="76">
        <f t="shared" si="96"/>
        <v>1.0375077557008903</v>
      </c>
      <c r="BU22" s="76">
        <f t="shared" si="97"/>
        <v>7.826451056636112E-2</v>
      </c>
      <c r="BV22" s="76">
        <f t="shared" si="98"/>
        <v>0</v>
      </c>
      <c r="BW22" s="76">
        <f t="shared" si="99"/>
        <v>0</v>
      </c>
      <c r="BX22" s="76">
        <f t="shared" si="100"/>
        <v>0</v>
      </c>
      <c r="BY22" s="78">
        <f t="shared" si="101"/>
        <v>0</v>
      </c>
      <c r="BZ22" s="76">
        <f t="shared" si="102"/>
        <v>0</v>
      </c>
      <c r="CA22" s="76">
        <f t="shared" si="103"/>
        <v>0.1079930643225525</v>
      </c>
      <c r="CB22" s="76">
        <f t="shared" si="104"/>
        <v>14.102443337222571</v>
      </c>
      <c r="CC22" s="12">
        <f t="shared" si="105"/>
        <v>18.135538464417806</v>
      </c>
      <c r="CD22" s="12">
        <f>IF(BC22="mol/kg",BY22+BZ22+2*CB22,
BI22*2+BJ22*2+BK22*3/2+BL22*3/2+BM22+BN22*3/2+BO22+BP22+BQ22+BR22+BS22+BT22/2+BU22/2+BV22*5+BW22*2 + BY22+BZ22+CA22- 3*AJ22/12.011*BE22/(H22*2/60.08+I22*2/79.88+J22*3/101.96+K22*3/151.99+L22*3/159.69+M22/71.85+O22/70.94+P22/40.3+Q22/74.69+R22/81.38+S22/56.08+T22/61.98+U22/94.2+V22*5/141.944522+W22*3/80.06+X22/18.9984+Y22/35.453+AI22/44.01*2-AS22/12.011-AW22/32.065-2*AX22/32.065+AY22*3/32.065+AH22/18.01528))</f>
        <v>28.204886674445142</v>
      </c>
      <c r="CE22" s="12"/>
      <c r="CF22" s="67" t="str">
        <f t="shared" si="106"/>
        <v>mol % oxide O2</v>
      </c>
      <c r="CG22" s="81">
        <f t="shared" si="107"/>
        <v>55.291205757198128</v>
      </c>
      <c r="CH22" s="81">
        <f t="shared" si="108"/>
        <v>0.53578158042752078</v>
      </c>
      <c r="CI22" s="81">
        <f t="shared" si="109"/>
        <v>11.165963466937178</v>
      </c>
      <c r="CJ22" s="81">
        <f t="shared" si="110"/>
        <v>0</v>
      </c>
      <c r="CK22" s="81">
        <f t="shared" si="111"/>
        <v>8.3704634075775104</v>
      </c>
      <c r="CL22" s="81">
        <f t="shared" si="112"/>
        <v>0.13709582158824787</v>
      </c>
      <c r="CM22" s="81">
        <f t="shared" si="113"/>
        <v>8.477508664144036</v>
      </c>
      <c r="CN22" s="81">
        <f t="shared" si="114"/>
        <v>0</v>
      </c>
      <c r="CO22" s="81">
        <f t="shared" si="115"/>
        <v>0</v>
      </c>
      <c r="CP22" s="81">
        <f t="shared" si="116"/>
        <v>11.249516208086964</v>
      </c>
      <c r="CQ22" s="81">
        <f t="shared" si="117"/>
        <v>3.2846633181623233</v>
      </c>
      <c r="CR22" s="81">
        <f t="shared" si="118"/>
        <v>0.24778545915339606</v>
      </c>
      <c r="CS22" s="81">
        <f t="shared" si="119"/>
        <v>0</v>
      </c>
      <c r="CT22" s="81">
        <f t="shared" si="120"/>
        <v>0</v>
      </c>
      <c r="CU22" s="81">
        <f t="shared" si="121"/>
        <v>0</v>
      </c>
      <c r="CV22" s="81">
        <f t="shared" si="122"/>
        <v>0</v>
      </c>
      <c r="CW22" s="81">
        <f t="shared" si="123"/>
        <v>0</v>
      </c>
      <c r="CX22" s="81">
        <f t="shared" si="124"/>
        <v>0.68379372605830424</v>
      </c>
      <c r="CY22" s="81">
        <f t="shared" si="125"/>
        <v>0.55622259066639912</v>
      </c>
      <c r="CZ22" s="81"/>
      <c r="DA22" s="67" t="s">
        <v>280</v>
      </c>
      <c r="DB22" s="60">
        <f t="shared" si="126"/>
        <v>17.465960465573513</v>
      </c>
      <c r="DC22" s="60">
        <f t="shared" si="126"/>
        <v>0.16920732316988693</v>
      </c>
      <c r="DD22" s="67">
        <f t="shared" si="127"/>
        <v>5.2905304646580111</v>
      </c>
      <c r="DE22" s="67">
        <f t="shared" si="127"/>
        <v>0</v>
      </c>
      <c r="DF22" s="94" t="e">
        <f t="shared" si="128"/>
        <v>#VALUE!</v>
      </c>
      <c r="DG22" s="94">
        <f t="shared" si="129"/>
        <v>2.1651268957778927E-2</v>
      </c>
      <c r="DH22" s="95">
        <f t="shared" si="129"/>
        <v>1.3390255044975503</v>
      </c>
      <c r="DI22" s="94">
        <f t="shared" si="129"/>
        <v>0</v>
      </c>
      <c r="DJ22" s="94">
        <f t="shared" si="129"/>
        <v>0</v>
      </c>
      <c r="DK22" s="94">
        <f t="shared" si="129"/>
        <v>1.7765936903572117</v>
      </c>
      <c r="DL22" s="94">
        <f t="shared" si="129"/>
        <v>1.0375077557008903</v>
      </c>
      <c r="DM22" s="94">
        <f t="shared" si="129"/>
        <v>7.826451056636112E-2</v>
      </c>
      <c r="DN22" s="94">
        <f t="shared" si="130"/>
        <v>0</v>
      </c>
      <c r="DO22" s="94">
        <f t="shared" si="131"/>
        <v>0.1079930643225525</v>
      </c>
      <c r="DP22" s="94">
        <f t="shared" si="132"/>
        <v>28.204886674445142</v>
      </c>
    </row>
    <row r="23" spans="1:120" ht="16" customHeight="1">
      <c r="BA23" s="68"/>
      <c r="BB23" s="124"/>
      <c r="BC23" s="96"/>
      <c r="BD23" s="124"/>
      <c r="BE23" s="50"/>
      <c r="BF23" s="50"/>
      <c r="BG23" s="51"/>
      <c r="BH23" s="12"/>
      <c r="BI23" s="76"/>
      <c r="BJ23" s="76"/>
      <c r="BK23" s="76"/>
      <c r="BL23" s="76"/>
      <c r="BM23" s="76"/>
      <c r="BN23" s="77"/>
      <c r="BO23" s="76"/>
      <c r="BP23" s="76"/>
      <c r="BQ23" s="76"/>
      <c r="BR23" s="76"/>
      <c r="BS23" s="76"/>
      <c r="BT23" s="76"/>
      <c r="BU23" s="76"/>
      <c r="BV23" s="76"/>
      <c r="BW23" s="76"/>
      <c r="BX23" s="76"/>
      <c r="BY23" s="78"/>
      <c r="BZ23" s="76"/>
      <c r="CA23" s="76"/>
      <c r="CB23" s="76"/>
      <c r="CC23" s="12"/>
      <c r="CD23" s="12"/>
      <c r="CE23" s="12"/>
      <c r="CG23" s="81"/>
      <c r="CH23" s="81"/>
      <c r="CI23" s="81"/>
      <c r="CJ23" s="81"/>
      <c r="CK23" s="81"/>
      <c r="CL23" s="81"/>
      <c r="CM23" s="81"/>
      <c r="CN23" s="81"/>
      <c r="CO23" s="81"/>
      <c r="CP23" s="81"/>
      <c r="CQ23" s="81"/>
      <c r="CR23" s="81"/>
      <c r="CS23" s="81"/>
      <c r="CT23" s="81"/>
      <c r="CU23" s="81"/>
      <c r="CV23" s="81"/>
      <c r="CW23" s="81"/>
      <c r="CX23" s="81"/>
      <c r="CY23" s="81"/>
      <c r="CZ23" s="81"/>
      <c r="DB23" s="60"/>
      <c r="DC23" s="60"/>
      <c r="DF23" s="94"/>
      <c r="DG23" s="94"/>
      <c r="DH23" s="95"/>
      <c r="DI23" s="94"/>
      <c r="DJ23" s="94"/>
      <c r="DK23" s="94"/>
      <c r="DL23" s="94"/>
      <c r="DM23" s="94"/>
      <c r="DN23" s="94"/>
      <c r="DO23" s="94"/>
      <c r="DP23" s="94"/>
    </row>
    <row r="24" spans="1:120" ht="16" customHeight="1">
      <c r="L24" s="69"/>
      <c r="M24" s="99"/>
      <c r="N24" s="60"/>
      <c r="AF24" s="71"/>
      <c r="BA24" s="68"/>
      <c r="BB24" s="124"/>
      <c r="BC24" s="96"/>
      <c r="BD24" s="124"/>
      <c r="BE24" s="50"/>
      <c r="BF24" s="50"/>
      <c r="BG24" s="51"/>
      <c r="BH24" s="12"/>
      <c r="BI24" s="76"/>
      <c r="BJ24" s="76"/>
      <c r="BK24" s="76"/>
      <c r="BL24" s="76"/>
      <c r="BM24" s="76"/>
      <c r="BN24" s="77"/>
      <c r="BO24" s="76"/>
      <c r="BP24" s="76"/>
      <c r="BQ24" s="76"/>
      <c r="BR24" s="76"/>
      <c r="BS24" s="76"/>
      <c r="BT24" s="76"/>
      <c r="BU24" s="76"/>
      <c r="BV24" s="76"/>
      <c r="BW24" s="76"/>
      <c r="BX24" s="76"/>
      <c r="BY24" s="78"/>
      <c r="BZ24" s="76"/>
      <c r="CA24" s="76"/>
      <c r="CB24" s="76"/>
      <c r="CC24" s="12"/>
      <c r="CD24" s="12"/>
      <c r="CE24" s="12"/>
      <c r="CG24" s="81"/>
      <c r="CH24" s="81"/>
      <c r="CI24" s="81"/>
      <c r="CJ24" s="81"/>
      <c r="CK24" s="81"/>
      <c r="CL24" s="81"/>
      <c r="CM24" s="81"/>
      <c r="CN24" s="81"/>
      <c r="CO24" s="81"/>
      <c r="CP24" s="81"/>
      <c r="CQ24" s="81"/>
      <c r="CR24" s="81"/>
      <c r="CS24" s="81"/>
      <c r="CT24" s="81"/>
      <c r="CU24" s="81"/>
      <c r="CV24" s="81"/>
      <c r="CW24" s="81"/>
      <c r="CX24" s="81"/>
      <c r="CY24" s="81"/>
      <c r="CZ24" s="81"/>
      <c r="DB24" s="60"/>
      <c r="DC24" s="60"/>
      <c r="DF24" s="94"/>
      <c r="DG24" s="94"/>
      <c r="DH24" s="95"/>
      <c r="DI24" s="94"/>
      <c r="DJ24" s="94"/>
      <c r="DK24" s="94"/>
      <c r="DL24" s="94"/>
      <c r="DM24" s="94"/>
      <c r="DN24" s="94"/>
      <c r="DO24" s="94"/>
      <c r="DP24" s="94"/>
    </row>
    <row r="25" spans="1:120" ht="16" customHeight="1">
      <c r="C25" s="57" t="s">
        <v>500</v>
      </c>
      <c r="H25" s="60">
        <v>41.16</v>
      </c>
      <c r="I25" s="60"/>
      <c r="J25" s="60">
        <v>3.58</v>
      </c>
      <c r="K25" s="60">
        <v>0.43</v>
      </c>
      <c r="L25" s="69">
        <v>0.7</v>
      </c>
      <c r="M25" s="99">
        <v>2.64</v>
      </c>
      <c r="N25" s="60">
        <f>L25*1/((159.69/71.844)/2)+M25</f>
        <v>3.2698553447304151</v>
      </c>
      <c r="O25" s="60"/>
      <c r="P25" s="60">
        <v>37.6</v>
      </c>
      <c r="Q25" s="60"/>
      <c r="R25" s="60"/>
      <c r="S25" s="60"/>
      <c r="T25" s="60"/>
      <c r="U25" s="143"/>
      <c r="V25" s="143"/>
      <c r="W25" s="143"/>
      <c r="X25" s="143"/>
      <c r="Y25" s="143"/>
      <c r="Z25" s="60">
        <v>13</v>
      </c>
      <c r="AF25" s="71">
        <f>IF(M25&lt;&gt;"",2*L25/159.69/(N25/71.844),0)</f>
        <v>0.19262483453449034</v>
      </c>
      <c r="AG25" s="67">
        <v>12</v>
      </c>
      <c r="AH25" s="97">
        <f>AO25-AI25</f>
        <v>12.70696</v>
      </c>
      <c r="AO25" s="60">
        <f t="shared" ref="AO25" si="133">Z25-M25*0.111+AL25/10000*0.7484 +AM25/10000*0.3742</f>
        <v>12.70696</v>
      </c>
      <c r="AP25" s="124">
        <f>IF(M25&lt;&gt;"",SUM(P25,H25,J25,O25,M25,L25,Q25,R25,S25,I25,K25,AG25,AI25,T25,U25,X25,Y25,AB25,AC25,W25,V25),
IF(M25="",SUM(P25,H25,J25,O25,N25,Q25,R25,S25,I25,K25,AG25,AI25,T25,U25,X25,Y25,AB25,AC25,W25,V25),
))</f>
        <v>98.11</v>
      </c>
      <c r="AQ25" s="126"/>
      <c r="AR25" s="126"/>
      <c r="AS25" s="140">
        <f t="shared" ref="AS25" si="134">AJ25</f>
        <v>0</v>
      </c>
      <c r="AT25" s="140">
        <f t="shared" ref="AT25" si="135">AI25*(12.011/(12.011+2*15.999))*100/AP25</f>
        <v>0</v>
      </c>
      <c r="AU25" s="140">
        <f t="shared" ref="AU25" si="136">IF(M25="",N25*(55.845/(55.845+15.999))*100/AP25,M25*(55.845/(55.845+15.999))*100/AP25)</f>
        <v>2.0916279772211248</v>
      </c>
      <c r="AV25" s="140">
        <f t="shared" ref="AV25" si="137">L25*(2*55.845/(2*55.845+3*15.999))*100/AP25</f>
        <v>0.49903326164400069</v>
      </c>
      <c r="AW25" s="140">
        <f t="shared" ref="AW25" si="138">AL25/10000*100/AP25</f>
        <v>0</v>
      </c>
      <c r="AX25" s="140">
        <f t="shared" ref="AX25" si="139">AM25/10000*100/AP25</f>
        <v>0</v>
      </c>
      <c r="AY25" s="140">
        <f t="shared" ref="AY25" si="140">AN25/10000*100/AP25</f>
        <v>0</v>
      </c>
      <c r="AZ25" s="126"/>
      <c r="BA25" s="68" t="s">
        <v>146</v>
      </c>
      <c r="BB25" s="124"/>
      <c r="BC25" s="96" t="s">
        <v>302</v>
      </c>
      <c r="BD25" s="124"/>
      <c r="BE25" s="50" t="str">
        <f t="shared" ref="BE25:BE26" si="141">IF(AND(BC25="Anions",BA25="Amph"),23,
IF(AND(BC25="Cations",BA25="Amph"),CD25,
IF(AND(BC25="Anions",BA25="Mica"),11,
IF(AND(BC25="Cations",BA25="Mica"),CD25,
IF(AND(BC25="Anions",BA25="Ti-Chu"),17.5,
IF(AND(BC25="Cations",BA25="Ti-Chu"),CD25,
IF(AND(BC25="Anions",BA25="F-Ph"),11.5,
IF(AND(BC25="Cations",BA25="F-Ph"),CD25,
IF(AND(BC25="Anions",BA25="Pl"),8,
IF(AND(BC25="Cations",BA25="Pl"),CD25,
IF(AND(BC25="Anions",BA25="Dol"),2,
IF(AND(BC25="Cations",BA25="Dol"),CD25,
IF(AND(BC25="Anions",BA25="Cb"),1,
IF(AND(BC25="Cations",BA25="Cb"),CD25,
IF(AND(BC25="Anions",BA25="Br"),1,
IF(AND(BC25="Cations",BA25="Br"),CD25,
IF(AND(BC25="Anions",BA25="Liz"),7,
IF(AND(BC25="Cations",BA25="Liz"),CD25,
IF(AND(BC25="Anions",BA25="Ep"),12.5,
IF(AND(BC25="Cations",BA25="Ep"),CD25,
IF(AND(BC25="Anions",BA25="Chum"),17,
IF(AND(BC25="Cations",BA25="Chum"),CD25,
IF(AND(BC25="Anions",BA25="Ol"),4,
IF(AND(BC25="Cations",BA25="Ol"),CD25,
IF(AND(BC25="Anions",BA25="Opx"),6,
IF(AND(BC25="Cations",BA25="Opx"),CD25,
IF(AND(BC25="Anions",BA25="Tlc"),11,
IF(AND(BC25="Cations",BA25="Tlc"),CD25,
IF(AND(BC25="Anions",BA25="Tr"),23,
IF(AND(BC25="Cations",BA25="Tr"),CD25,
IF(AND(BC25="Anions",BA25="Atg"),6.824,
IF(AND(BC25="Cations",BA25="Atg"),CD25,
IF(AND(BC25="Anions",BA25="Chl"),14,
IF(AND(BC25="Cations",BA25="Chl"),CD25,
IF(AND(BC25="Anions",BA25="Cpx"),6,
IF(AND(BC25="Cations",BA25="Cpx"),CD25,
IF(AND(BC25="both",BA25="Cpx"),6,
IF(AND(BC25="Anions",BA25="Grt"),12,
IF(AND(BC25="Cations",BA25="Grt"),CD25,
IF(AND(BC25="both",BA25="Grt"),12,
IF(AND(BC25="Anions",BA25="Mag"),4,
IF(AND(BC25="Cations",BA25="Mag"),CD25,
IF(AND(BC25="both",BA25="Mag"),4,
IF(AND(BC25="Anions",BA25="Ti-Cho"),9.5,
IF(AND(BC25="Cations",BA25="Ti-Cho"),CD25,
IF(AND(BC25="Anions",BA25="Ilv"),8.5,
IF(AND(BC25="Cations",BA25="Ilv"),CD25,
IF(AND(BC25="both",BA25="Ilv"),8.5,
IF(AND(BC25="Anions",BA25="Hem"),3,
IF(AND(BC25="Cations",BA25="Hem"),CD25,
IF(AND(BC25="both",BA25="Hem"),3,
IF(AND(BC25="Anions",BA25="WR"),100,
IF(AND(BC25="mol/kg",BA25="WR"),"",
IF(AND(BC25="Cations",BA25="WR"),CD25
)))))))))))))))))))))))))))))))))))))))))))))))))))
)))</f>
        <v/>
      </c>
      <c r="BF25" s="50" t="str">
        <f t="shared" ref="BF25:BF26" si="142">IF(AND(BC25="Anions",BA25="Amph"),CC25,
IF(AND(BC25="Cations",BA25="Amph"),15,
IF(AND(BC25="Anions",BA25="Mica"),CC25,
IF(AND(BC25="Cations",BA25="Mica"),7,
IF(AND(BC25="Anions",BA25="Ti-Chu"),CC25,
IF(AND(BC25="Cations",BA25="Ti-Chu"),13,
IF(AND(BC25="Anions",BA25="F-Ph"),CC25,
IF(AND(BC25="Cations",BA25="F-Ph"),8,
IF(AND(BC25="Anions",BA25="Pl"),CC25,
IF(AND(BC25="Cations",BA25="Pl"),5,
IF(AND(BC25="Anions",BA25="Dol"),CC25,
IF(AND(BC25="Cations",BA25="Dol"),2,
IF(AND(BC25="Anions",BA25="Cb"),CC25,
IF(AND(BC25="Cations",BA25="Cb"),1,
IF(AND(BC25="Anions",BA25="Br"),CC25,
IF(AND(BC25="Cations",BA25="Br"),1,
IF(AND(BC25="Anions",BA25="Liz"),CC25,
IF(AND(BC25="Cations",BA25="Liz"),5,
IF(AND(BC25="Anions",BA25="Ep"),CC25,
IF(AND(BC25="Cations",BA25="Ep"),8,
IF(AND(BC25="Anions",BA25="Chum"),CC25,
IF(AND(BC25="Cations",BA25="Chum"),13,
IF(AND(BC25="Anions",BA25="Ol"),CC25,
IF(AND(BC25="Cations",BA25="Ol"),3,
IF(AND(BC25="Anions",BA25="Opx"),CC25,
IF(AND(BC25="Cations",BA25="Opx"),4,
IF(AND(BC25="Anions",BA25="Tlc"),CC25,
IF(AND(BC25="Cations",BA25="Tlc"),7,
IF(AND(BC25="Anions",BA25="Tr"),CC25,
IF(AND(BC25="Cations",BA25="Tr"),15,
IF(AND(BC25="Anions",BA25="Atg"),CC25,
IF(AND(BC25="Cations",BA25="Atg"),4.825,
IF(AND(BC25="Anions",BA25="Chl"),CC25,
IF(AND(BC25="Cations",BA25="Chl"),10,
IF(AND(BC25="Anions",BA25="Cpx"),CC25,
IF(AND(BC25="Cations",BA25="Cpx"),4,
IF(AND(BC25="both",BA25="Cpx"),4,
IF(AND(BC25="Anions",BA25="Grt"),CC25,
IF(AND(BC25="Cations",BA25="Grt"),8,
IF(AND(BC25="both",BA25="Grt"),8,
IF(AND(BC25="Anions",BA25="Mag"),CC25,
IF(AND(BC25="Cations",BA25="Mag"),3,
IF(AND(BC25="both",BA25="Mag"),3,
IF(AND(BC25="Anions",BA25="Ti-Cho"),CC25,
IF(AND(BC25="Cations",BA25="Ti-Cho"),7,
IF(AND(BC25="Anions",BA25="Ilv"),CC25,
IF(AND(BC25="Cations",BA25="Ilv"),6,
IF(AND(BC25="both",BA25="Ilv"),6,
IF(AND(BC25="Anions",BA25="Hem"),CC25,
IF(AND(BC25="Cations",BA25="Hem"),2,
IF(AND(BC25="both",BA25="Hem"),2,
IF(AND(BC25="Anions",BA25="WR"),CC25,
IF(AND(BC25="mol/kg",BA25="WR"),"",
IF(AND(BC25="Cations",BA25="WR"),100,
))))))))))))))))))))))))))))))))))))))))))))))))
))))))</f>
        <v/>
      </c>
      <c r="BG25" s="51"/>
      <c r="BH25" s="12"/>
      <c r="BI25" s="76">
        <f t="shared" ref="BI25:BI26" si="143">IF(AND(M25&lt;&gt;"",BC25="Anions"),H25/60.08*BE25/(H25*2/60.08+I25*2/79.88+J25*3/101.96+K25*3/151.99+L25*3/159.69+M25/71.85+O25/70.94+P25/40.3+Q25/74.69+R25/81.38+S25/56.08+T25/61.98+U25/94.2+V25*5/141.944522+W25*3/80.06+X25/18.9984+Y25/35.453+AI25/44.01*2-AS25/12.011-AW25/32.065-2*AX25/32.065+AY25*3/32.065+AH25/18.01528),
IF(AND(M25&lt;&gt;"",BC25="mol/kg"),H25/60.08*10*100/AP25,
IF(AND(M25="",BC25="mol/kg"),H25/60.08*10*100/AP25,
IF(AND(M25="",BC25="Anions"),H25/60.08*BE25/(H25*2/60.08+I25*2/79.88+J25*3/101.96+K25*3/151.99+L25*3/159.69+N25/71.85+O25/70.94+P25/40.3+Q25/74.69+R25/81.38+S25/56.08+T25/61.98+U25/94.2+V25*5/141.944522+W25*3/80.06+X25/18.9984+Y25/35.453+AI25/44.01*2-AS25/12.011-AW25/32.065-2*AX25/32.065+AY25*3/32.065+AH25/18.01528),
))))</f>
        <v>6.9828412115480587</v>
      </c>
      <c r="BJ25" s="76">
        <f t="shared" ref="BJ25:BJ26" si="144">IF(AND(M25&lt;&gt;"",BC25="Anions"),I25/79.88*BE25/(H25*2/60.08+I25*2/79.88+J25*3/101.96+K25*3/151.99+L25*3/159.69+M25/71.85+O25/70.94+P25/40.3+Q25/74.69+R25/81.38+S25/56.08+T25/61.98+U25/94.2+V25*5/141.944522+W25*3/80.06+X25/18.9984+Y25/35.453+AI25/44.01*2-AS25/12.011-AW25/32.065-2*AX25/32.065+AY25*3/32.065+AH25/18.01528),
IF(AND(M25&lt;&gt;"",BC25="mol/kg"),I25/79.88*10*100/AP25,
IF(AND(M25="",BC25="mol/kg"),I25/79.88*10*100/AP25,
IF(AND(M25="",BC25="Anions"),I25/79.88*BE25/(H25*2/60.08+I25*2/79.88+J25*3/101.96+K25*3/151.99+L25*3/159.69+N25/71.85+O25/70.94+P25/40.3+Q25/74.69+R25/81.38+S25/56.08+T25/61.98+U25/94.2+V25*5/141.944522+W25*3/80.06+X25/18.9984+Y25/35.453+AI25/44.01*2-AS25/12.011-AW25/32.065-2*AX25/32.065+AY25*3/32.065+AH25/18.01528),
))))</f>
        <v>0</v>
      </c>
      <c r="BK25" s="76">
        <f t="shared" ref="BK25:BK26" si="145">IF(AND(M25&lt;&gt;"",BC25="Anions"),2*J25/101.96*BE25/(H25*2/60.08+I25*2/79.88+J25*3/101.96+K25*3/151.99+L25*3/159.69+M25/71.85+O25/70.94+P25/40.3+Q25/74.69+R25/81.38+S25/56.08+T25/61.98+U25/94.2+V25*5/141.944522+W25*3/80.06+X25/18.9984+Y25/35.453+AI25/44.01*2-AS25/12.011-AW25/32.065-2*AX25/32.065+AY25*3/32.065+AH25/18.01528),
IF(AND(M25&lt;&gt;"",BC25="mol/kg"),2*J25/101.96*10*100/AP25,
IF(AND(M25="",BC25="mol/kg"),2*J25/101.96*10*100/AP25,
IF(AND(M25="",BC25="Anions"),2*J25/101.96*BE25/(H25*2/60.08+I25*2/79.88+J25*3/101.96+K25*3/151.99+L25*3/159.69+N25/71.85+O25/70.94+P25/40.3+Q25/74.69+R25/81.38+S25/56.08+T25/61.98+U25/94.2+V25*5/141.944522+W25*3/80.06+X25/18.9984+Y25/35.453+AI25/44.01*2-AS25/12.011-AW25/32.065-2*AX25/32.065+AY25*3/32.065+AH25/18.01528),
))))</f>
        <v>0.71576411277899266</v>
      </c>
      <c r="BL25" s="76">
        <f t="shared" ref="BL25:BL26" si="146">IF(AND(M25&lt;&gt;"",BC25="Anions"),2*K25/151.99*BE25/(H25*2/60.08+I25*2/79.88+J25*3/101.96+K25*3/151.99+L25*3/159.69+M25/71.85+O25/70.94+P25/40.3+Q25/74.69+R25/81.38+S25/56.08+T25/61.98+U25/94.2+V25*5/141.944522+W25*3/80.06+X25/18.9984+Y25/35.453+AI25/44.01*2-AS25/12.011-AW25/32.065-2*AX25/32.065+AY25*3/32.065+AH25/18.01528),
IF(AND(M25&lt;&gt;"",BC25="mol/kg"),2*K25/151.99*10*100/AP25,
IF(AND(M25="",BC25="mol/kg"),2*K25/151.99*10*100/AP25,
IF(AND(M25="",BC25="Anions"),2*K25/151.99*BE25/(H25*2/60.08+I25*2/79.88+J25*3/101.96+K25*3/151.99+L25*3/159.69+N25/71.85+O25/70.94+P25/40.3+Q25/74.69+R25/81.38+S25/56.08+T25/61.98+U25/94.2+V25*5/141.944522+W25*3/80.06+X25/18.9984+Y25/35.453+AI25/44.01*2-AS25/12.011-AW25/32.065-2*AX25/32.065+AY25*3/32.065+AH25/18.01528),
))))</f>
        <v>5.7672683633160984E-2</v>
      </c>
      <c r="BM25" s="76">
        <f t="shared" ref="BM25:BM26" si="147">IF(AND(M25&lt;&gt;"",BC25="Anions"),M25/71.85*BE25/(H25*2/60.08+I25*2/79.88+J25*3/101.96+K25*3/151.99+L25*3/159.69+M25/71.85+O25/70.94+P25/40.3+Q25/74.69+R25/81.38+S25/56.08+T25/61.98+U25/94.2+V25*5/141.944522+W25*3/80.06+X25/18.9984+Y25/35.453+AI25/44.01*2-AS25/12.011-AW25/32.065-2*AX25/32.065+AY25*3/32.065+AH25/18.01528),
IF(AND(M25&lt;&gt;"",BC25="mol/kg"),(M25/71.85+L25*2/159.69)*10*100/AP25,
IF(AND(M25="",BC25="mol/kg"),(N25/71.85)*10*100/AP25,
IF(AND(M25="",BC25="Anions"),N25/71.85*BE25/(H25*2/60.08+I25*2/79.88+J25*3/101.96+K25*3/151.99+L25*3/159.69+N25/71.85+O25/70.94+P25/40.3+Q25/74.69+R25/81.38+S25/56.08+T25/61.98+U25/94.2+V25*5/141.944522+W25*3/80.06+X25/18.9984+Y25/35.453+AI25/44.01*2-AS25/12.011-AW25/32.065-2*AX25/32.065+AY25*3/32.065+AH25/18.01528),
))))</f>
        <v>0.46386913736376434</v>
      </c>
      <c r="BN25" s="77" t="str">
        <f t="shared" ref="BN25:BN26" si="148">IF(AND(M25&lt;&gt;"",BC25="Anions"),L25*2/159.69*BE25/(H25*2/60.08+I25*2/79.88+J25*3/101.96+K25*3/151.99+L25*3/159.69+M25/71.85+O25/70.94+P25/40.3+Q25/74.69+R25/81.38+S25/56.08+T25/61.98+U25/94.2+V25*5/141.944522+W25*3/80.06+X25/18.9984+Y25/35.453+AI25/44.01*2-AS25/12.011-AW25/32.065-2*AX25/32.065+AY25*3/32.065+AH25/18.01528),
IF(AND(M25&lt;&gt;"",BC25="mol/kg"),"-",
IF(AND(M25="",BC25="mol/kg"),"-",
IF(AND(M25="",BC25="Anions"),L25*2/159.69*BE25/(H25*2/60.08+I25*2/79.88+J25*3/101.96+K25*3/151.99+L25*3/159.69+N25/71.85+O25/70.94+P25/40.3+Q25/74.69+R25/81.38+S25/56.08+T25/61.98+U25/94.2+V25*5/141.944522+W25*3/80.06+X25/18.9984+Y25/35.453+AI25/44.01*2-AS25/12.011-AW25/32.065-2*AX25/32.065+AY25*3/32.065+AH25/18.01528),
))))</f>
        <v>-</v>
      </c>
      <c r="BO25" s="76">
        <f t="shared" ref="BO25:BO26" si="149">IF(AND(M25&lt;&gt;"",BC25="Anions"),O25/70.94*BE25/(H25*2/60.08+I25*2/79.88+J25*3/101.96+K25*3/151.99+L25*3/159.69+M25/71.85+O25/70.94+P25/40.3+Q25/74.69+R25/81.38+S25/56.08+T25/61.98+U25/94.2+V25*5/141.944522+W25*3/80.06+X25/18.9984+Y25/35.453+AI25/44.01*2-AS25/12.011-AW25/32.065-2*AX25/32.065+AY25*3/32.065+AH25/18.01528),
IF(AND(M25&lt;&gt;"",BC25="mol/kg"),O25/70.94*10*100/AP25,
IF(AND(M25="",BC25="mol/kg"),O25/70.94*10*100/AP25,
IF(AND(M25="",BC25="Anions"),O25/70.94*BE25/(H25*2/60.08+I25*2/79.88+J25*3/101.96+K25*3/151.99+L25*3/159.69+N25/71.85+O25/70.94+P25/40.3+Q25/74.69+R25/81.38+S25/56.08+T25/61.98+U25/94.2+V25*5/141.944522+W25*3/80.06+X25/18.9984+Y25/35.453+AI25/44.01*2-AS25/12.011-AW25/32.065-2*AX25/32.065+AY25*3/32.065+AH25/18.01528),
))))</f>
        <v>0</v>
      </c>
      <c r="BP25" s="76">
        <f t="shared" ref="BP25:BP26" si="150">IF(AND(M25&lt;&gt;"",BC25="Anions"),P25/40.3*BE25/(H25*2/60.08+I25*2/79.88+J25*3/101.96+K25*3/151.99+L25*3/159.69+M25/71.85+O25/70.94+P25/40.3+Q25/74.69+R25/81.38+S25/56.08+T25/61.98+U25/94.2+V25*5/141.944522+W25*3/80.06+X25/18.9984+Y25/35.453+AI25/44.01*2-AS25/12.011-AW25/32.065-2*AX25/32.065+AY25*3/32.065+AH25/18.01528),
IF(AND(M25&lt;&gt;"",BC25="mol/kg"),P25/40.3*10*100/AP25,
IF(AND(M25="",BC25="mol/kg"),P25/40.3*10*100/AP25,
IF(AND(M25="",BC25="Anions"),P25/40.3*BE25/(H25*2/60.08+I25*2/79.88+J25*3/101.96+K25*3/151.99+L25*3/159.69+N25/71.85+O25/70.94+P25/40.3+Q25/74.69+R25/81.38+S25/56.08+T25/61.98+U25/94.2+V25*5/141.944522+W25*3/80.06+X25/18.9984+Y25/35.453+AI25/44.01*2-AS25/12.011-AW25/32.065-2*AW25/32.065+AW25*3/32.065+AH25/18.01528),
))))</f>
        <v>9.5097592639851012</v>
      </c>
      <c r="BQ25" s="76">
        <f t="shared" ref="BQ25:BQ26" si="151">IF(AND(M25&lt;&gt;"",BC25="Anions"),Q25/74.69*BE25/(H25*2/60.08+I25*2/79.88+J25*3/101.96+K25*3/151.99+L25*3/159.69+M25/71.85+O25/70.94+P25/40.3+Q25/74.69+R25/81.38+S25/56.08+T25/61.98+U25/94.2+V25*5/141.944522+W25*3/80.06+X25/18.9984+Y25/35.453+AI25/44.01*2-AS25/12.011-AW25/32.065-2*AX25/32.065+AY25*3/32.065+AH25/18.01528),
IF(AND(M25&lt;&gt;"",BC25="mol/kg"),Q25/74.69*10*100/AP25,
IF(AND(M25="",BC25="mol/kg"),Q25/74.69*10*100/AP25,
IF(AND(M25="",BC25="Anions"),Q25/74.69*BE25/(H25*2/60.08+I25*2/79.88+J25*3/101.96+K25*3/151.99+L25*3/159.69+N25/71.85+O25/70.94+P25/40.3+Q25/74.69+R25/81.38+S25/56.08+T25/61.98+U25/94.2+V25*5/141.944522+W25*3/80.06+X25/18.9984+Y25/35.453+AI25/44.01*2-AS25/12.011-AW25/32.065-2*AX25/32.065+AY25*3/32.065+AH25/18.01528),
))))</f>
        <v>0</v>
      </c>
      <c r="BR25" s="76">
        <f t="shared" ref="BR25:BR26" si="152">IF(AND(M25&lt;&gt;"",BC25="Anions"),R25/81.38*BE25/(H25*2/60.08+I25*2/79.88+J25*3/101.96+K25*3/151.99+L25*3/159.69+M25/71.85+O25/70.94+P25/40.3+Q25/74.69+R25/81.38+S25/56.08+T25/61.98+U25/94.2+V25*5/141.944522+W25*3/80.06+X25/18.9984+Y25/35.453+AI25/44.01*2-AS25/12.011-AW25/32.065-2*AX25/32.065+AY25*3/32.065+AH25/18.01528),
IF(AND(M25&lt;&gt;"",BC25="mol/kg"),R25/81.38*10*100/AP25,
IF(AND(M25="",BC25="mol/kg"),R25/81.38*10*100/AP25,
IF(AND(M25="",BC25="Anions"),R25/81.38*BE25/(H25*2/60.08+I25*2/79.88+J25*3/101.96+K25*3/151.99+L25*3/159.69+N25/71.85+O25/70.94+P25/40.3+Q25/74.69+R25/81.38+S25/56.08+T25/61.98+U25/94.2+V25*5/141.944522+W25*3/80.06+X25/18.9984+Y25/35.453+AI25/44.01*2-AS25/12.011-AW25/32.065-2*AX25/32.065+AY25*3/32.065+AH25/18.01528),
))))</f>
        <v>0</v>
      </c>
      <c r="BS25" s="76">
        <f t="shared" ref="BS25:BS26" si="153">IF(AND(M25&lt;&gt;"",BC25="Anions"),S25/56.08*BE25/(H25*2/60.08+I25*2/79.88+J25*3/101.96+K25*3/151.99+L25*3/159.69+M25/71.85+O25/70.94+P25/40.3+Q25/74.69+R25/81.38+S25/56.08+T25/61.98+U25/94.2+V25*5/141.944522+W25*3/80.06+X25/18.9984+Y25/35.453+AI25/44.01*2-AS25/12.011-AW25/32.065-2*AX25/32.065+AY25*3/32.065+AH25/18.01528),
IF(AND(M25&lt;&gt;"",BC25="mol/kg"),S25/56.08*10*100/AP25,
IF(AND(M25="",BC25="mol/kg"),S25/56.08*10*100/AP25,
IF(AND(M25="",BC25="Anions"),S25/56.08*BE25/(H25*2/60.08+I25*2/79.88+J25*3/101.96+K25*3/151.99+L25*3/159.69+N25/71.85+O25/70.94+P25/40.3+Q25/74.69+R25/81.38+S25/56.08+T25/61.98+U25/94.2+V25*5/141.944522+W25*3/80.06+X25/18.9984+Y25/35.453+AI25/44.01*2-AS25/12.011-AW25/32.065-2*AW25/32.065+AW25*3/32.065+AH25/18.01528),
))))</f>
        <v>0</v>
      </c>
      <c r="BT25" s="76">
        <f t="shared" ref="BT25:BT26" si="154">IF(AND(M25&lt;&gt;"",BC25="Anions"),2*T25/61.98*BE25/(H25*2/60.08+I25*2/79.88+J25*3/101.96+K25*3/151.99+L25*3/159.69+M25/71.85+O25/70.94+P25/40.3+Q25/74.69+R25/81.38+S25/56.08+T25/61.98+U25/94.2+V25*5/141.944522+W25*3/80.06+X25/18.9984+Y25/35.453+AI25/44.01*2-AS25/12.011-AW25/32.065-2*AX25/32.065+AY25*3/32.065+AH25/18.01528),
IF(AND(M25&lt;&gt;"",BC25="mol/kg"),2*T25/61.98*10*100/AP25,
IF(AND(M25="",BC25="mol/kg"),2*T25/61.98*10*100/AP25,
IF(AND(M25="",BC25="Anions"),2*T25/61.98*BE25/(H25*2/60.08+I25*2/79.88+J25*3/101.96+K25*3/151.99+L25*3/159.69+N25/71.85+O25/70.94+P25/40.3+Q25/74.69+R25/81.38+S25/56.08+T25/61.98+U25/94.2+V25*5/141.944522+W25*3/80.06+X25/18.9984+Y25/35.453+AI25/44.01*2-AS25/12.011-AW25/32.065-2*AX25/32.065+AY25*3/32.065+AH25/18.01528),
))))</f>
        <v>0</v>
      </c>
      <c r="BU25" s="76">
        <f t="shared" ref="BU25:BU26" si="155">IF(AND(M25&lt;&gt;"",BC25="Anions"),2*U25/94.2*BE25/(H25*2/60.08+I25*2/79.88+J25*3/101.96+K25*3/151.99+L25*3/159.69+M25/71.85+O25/70.94+P25/40.3+Q25/74.69+R25/81.38+S25/56.08+T25/61.98+U25/94.2+V25*5/141.944522+W25*3/80.06+X25/18.9984+Y25/35.453+AI25/44.01*2-AS25/12.011-AW25/32.065-2*AX25/32.065+AY25*3/32.065+AH25/18.01528),
IF(AND(M25&lt;&gt;"",BC25="mol/kg"),2*U25/94.2*10*100/AP25,
IF(AND(M25="",BC25="mol/kg"),2*U25/94.2*10*100/AP25,
IF(AND(M25="",BC25="Anions"),2*U25/94.2*BE25/(H25*2/60.08+I25*2/79.88+J25*3/101.96+K25*3/151.99+L25*3/159.69+N25/71.85+O25/70.94+P25/40.3+Q25/74.69+R25/81.38+S25/56.08+T25/61.98+U25/94.2+V25*5/141.944522+W25*3/80.06+X25/18.9984+Y25/35.453+AI25/44.01*2-AS25/12.011-AW25/32.065-2*AX25/32.065+AY25*3/32.065+AH25/18.01528),
))))</f>
        <v>0</v>
      </c>
      <c r="BV25" s="76">
        <f t="shared" ref="BV25:BV26" si="156">IF(AND(M25&lt;&gt;"",BC25="Anions"),V25*2/141.944522*BE25/(H25*2/60.08+I25*2/79.88+J25*3/101.96+K25*3/151.99+L25*3/159.69+M25/71.85+O25/70.94+P25/40.3+Q25/74.69+R25/81.38+S25/56.08+T25/61.98+U25/94.2+V25*5/141.944522+W25*3/80.06+X25/18.9984+Y25/35.453+AI25/44.01*2-AS25/12.011-AW25/32.065-2*AX25/32.065+AY25*3/32.065+AH25/18.01528),
IF(AND(M25&lt;&gt;"",BC25="mol/kg"),V25*2/141.944522*10*100/AP25,
IF(AND(M25="",BC25="mol/kg"),V25*2/141.944522*10*100/AP25,
IF(AND(M25="",BC25="Anions"),V25*2/141.944522*BE25/(H25*2/60.08+I25*2/79.88+J25*3/101.96+K25*3/151.99+L25*3/159.69+N25/71.85+O25/70.94+P25/40.3+Q25/74.69+R25/81.38+S25/56.08+T25/61.98+U25/94.2+V25*5/141.944522+W25*3/80.06+X25/18.9984+Y25/35.453+AI25/44.01*2-AS25/12.011-AW25/32.065-2*AX25/32.065+AY25*3/32.065+AH25/18.01528),
))))</f>
        <v>0</v>
      </c>
      <c r="BW25" s="76">
        <f t="shared" ref="BW25:BW26" si="157">IF(AND(M25&lt;&gt;"",BC25="Anions"),(AI25/44.01+AJ25/12.011)*BE25/(H25*2/60.08+I25*2/79.88+J25*3/101.96+K25*3/151.99+L25*3/159.69+M25/71.85+O25/70.94+P25/40.3+Q25/74.69+R25/81.38+S25/56.08+T25/61.98+U25/94.2+V25*5/141.944522+W25*3/80.06+X25/18.9984+Y25/35.453+AI25/44.01*2-AS25/12.011-AW25/32.065-2*AX25/32.065+AY25*3/32.065+AH25/18.01528),
IF(AND(M25&lt;&gt;"",BC25="mol/kg"),(AI25*(12.011/(12.011+31.999))+AJ25)/12.011*10*100/AP25,
IF(AND(M25="",BC25="mol/kg"),(AI25*(12.011/(12.011+31.999))+AJ25)/12.011*10*100/AP25,
IF(AND(M25="",BC25="Anions"),(AI25/44.01+AJ25/12.011)*BE25/(H25*2/60.08+I25*2/79.88+J25*3/101.96+K25*3/151.99+L25*3/159.69+N25/71.85+O25/70.94+P25/40.3+Q25/74.69+R25/81.38+S25/56.08+T25/61.98+U25/94.2+V25*5/141.944522+W25*3/80.06+X25/18.9984+Y25/35.453+AI25/44.01*2-AS25/12.011-AW25/32.065-2*AX25/32.065+AY25*3/32.065+AH25/18.01528),
))))</f>
        <v>0</v>
      </c>
      <c r="BX25" s="76">
        <f t="shared" ref="BX25:BX26" si="158">IF(AND(M25&lt;&gt;"",BC25="Anions"),W25/32.06/2*BE25/(H25*2/60.08+I25*2/79.88+J25*3/101.96+K25*3/151.99+L25*3/159.69+M25/71.85+O25/70.94+P25/40.3+Q25/74.69+R25/81.38+S25/56.08+T25/61.98+U25/94.2+V25*5/141.944522+W25*3/80.06+X25/18.9984+Y25/35.453+AI25/44.01*2-AS25/12.011-AW25/32.065-2*AX25/32.065+AY25*3/32.065+AH25/18.01528),
IF(AND(M25&lt;&gt;"",BC25="mol/kg"),W25/32.06/2*10*100/AP25,
IF(AND(M25="",BC25="mol/kg"),W25/32.06/2*10*100/AP25,
IF(AND(M25="",BC25="Anions"),W25/32.06/2*BE25/(H25*2/60.08+I25*2/79.88+J25*3/101.96+K25*3/151.99+L25*3/159.69+N25/71.85+O25/70.94+P25/40.3+Q25/74.69+R25/81.38+S25/56.08+T25/61.98+U25/94.2+V25*5/141.944522+W25*3/80.06+X25/18.9984+Y25/35.453+AI25/44.01*2-AS25/12.011-AW25/32.065-2*AX25/32.065+AY25*3/32.065+AH25/18.01528),
))))</f>
        <v>0</v>
      </c>
      <c r="BY25" s="78">
        <f t="shared" ref="BY25:BY26" si="159">IF(AND(M25&lt;&gt;"",BC25="Anions"),X25/18.9984*BE25/(H25*2/60.08+I25*2/79.88+J25*3/101.96+K25*3/151.99+L25*3/159.69+M25/71.85+O25/70.94+P25/40.3+Q25/74.69+R25/81.38+S25/56.08+T25/61.98+U25/94.2+V25*5/141.944522+W25*3/80.06+X25/18.9984+Y25/35.453+AI25/44.01*2-AS25/12.011-AW25/32.065-2*AX25/32.065+AY25*3/32.065+AH25/18.01528),
IF(AND(M25&lt;&gt;"",BC25="mol/kg"),X25/18.9984*10*100/AP25,
IF(AND(M25="",BC25="mol/kg"),X25/18.9984*10*100/AP25,
IF(AND(M25="",BC25="Anions"),X25/18.9984*BE25/(H25*2/60.08+I25*2/79.88+J25*3/101.96+K25*3/151.99+L25*3/159.69+N25/71.85+O25/70.94+P25/40.3+Q25/74.69+R25/81.38+S25/56.08+T25/61.98+U25/94.2+V25*5/141.944522+W25*3/80.06+X25/18.9984+Y25/35.453+AI25/44.01*2-AS25/12.011-AW25/32.065-2*AX25/32.065+AY25*3/32.065+AH25/18.01528),
))))</f>
        <v>0</v>
      </c>
      <c r="BZ25" s="76">
        <f t="shared" ref="BZ25:BZ26" si="160">IF(AND(M25&lt;&gt;"",BC25="Anions"),Y25/35.453*BE25/(H25*2/60.08+I25*2/79.88+J25*3/101.96+K25*3/151.99+L25*3/159.69+M25/71.85+O25/70.94+P25/40.3+Q25/74.69+R25/81.38+S25/56.08+T25/61.98+U25/94.2+V25*5/141.944522+W25*3/80.06+X25/18.9984+Y25/35.453+AI25/44.01*2-AS25/12.011-AW25/32.065-2*AX25/32.065+AY25*3/32.065+AH25/18.01528),
IF(AND(M25&lt;&gt;"",BC25="mol/kg"),Y25/35.453*10*100/AP25,
IF(AND(M25="",BC25="mol/kg"),Y25/35.453*10*100/AP25,
IF(AND(M25="",BC25="Anions"),Y25/35.453*BE25/(H25*2/60.08+I25*2/79.88+J25*3/101.96+K25*3/151.99+L25*3/159.69+N25/71.85+O25/70.94+P25/40.3+Q25/74.69+R25/81.38+S25/56.08+T25/61.98+U25/94.2+V25*5/141.944522+W25*3/80.06+X25/18.9984+Y25/35.453+AI25/44.01*2-AS25/12.011-AW25/32.065-2*AX25/32.065+AY25*3/32.065+AH25/18.01528),
))))</f>
        <v>0</v>
      </c>
      <c r="CA25" s="76">
        <f t="shared" ref="CA25:CA26" si="161">IF(AND(M25&lt;&gt;"",BC25="Anions"),AH25/18.01528*BE25/(H25*2/60.08+I25*2/79.88+J25*3/101.96+K25*3/151.99+L25*3/159.69+M25/71.85+O25/70.94+P25/40.3+Q25/74.69+R25/81.38+S25/56.08+T25/61.98+U25/94.2+V25*5/141.944522+W25*3/80.06+X25/18.9984+Y25/35.453+AI25/44.01*2-AS25/12.011-AW25/32.065-2*AX25/32.065+AY25*3/32.065+AH25/18.01528),
IF(AND(M25&lt;&gt;"",BC25="mol/kg"),AH25/18.01528*10*100/AP25,
IF(AND(M25="",BC25="mol/kg"),AH25/18.01528*10*100/AP25,
IF(AND(M25="",BC25="Anions"),AH25/18.01528*BE25/(H25*2/60.08+I25*2/79.88+J25*3/101.96+K25*3/151.99+L25*3/159.69+N25/71.85+O25/70.94+P25/40.3+Q25/74.69+R25/81.38+S25/56.08+T25/61.98+U25/94.2+V25*5/141.944522+W25*3/80.06+X25/18.9984+Y25/35.453+AI25/44.01*2-AS25/12.011-AW25/32.065-2*AX25/32.065+AY25*3/32.065+AH25/18.01528),
))))</f>
        <v>7.1893126489938677</v>
      </c>
      <c r="CB25" s="76">
        <f t="shared" ref="CB25:CB26" si="162">IF(AND(M25&lt;&gt;"",BC25="Anions"),1/2*(BI25*2+BJ25*2+BK25*3/2+BL25*3/2+BM25+BN25*3/2+BO25+BP25+BQ25+BR25+BS25+BT25/2+BU25/2+BV25*5+BW25*2+CA25),
IF(AND(M25="",BC25="Anions"),1/2*(BI25*2+BJ25*2+BK25*3/2+BL25*3/2+BM25+BN25*3/2+BO25+BP25+BQ25+BR25+BS25+BT25/2+BU25/2+BV25*5+BW25*2+CA25),
IF(AND(M25&lt;&gt;"",BC25="mol/kg"),BI25+BJ25+BK25*3/4+BL25*3/4+AU25/55.845*10/2+AV25/55.845*10*3/4+BP25/2+BQ25/2+BR25/2+BS25/2+BT25/4+BU25/4+BV25*5/4+AT25/12*10-AW25/2/32.065*10-AX25/4/32.065*10+AY25/32.065*10*3/2+CA25/2,
IF(AND(M25="",BC25="mol/kg"),BI25+BJ25+BK25*3/4+BL25*3/4+AU25/55.845*10/2+AV25/55.845*10*3/4+BP25/2+BQ25/2+BR25/2+BS25/2+BT25/4+BU25/4+BV25*5/4+AT25/12*10-AW25/2/32.065*10-AX25/4/32.065*10+AY25/32.065*10*3/2+CA25/2,
))))</f>
        <v>16.166745916719847</v>
      </c>
      <c r="CC25" s="12">
        <f t="shared" ref="CC25:CC26" si="163">SUM(BI25:BW25,2*CA25)</f>
        <v>32.108531707296812</v>
      </c>
      <c r="CD25" s="12">
        <f t="shared" ref="CD25:CD26" si="164">IF(BC25="mol/kg",BY25+BZ25+2*CB25,
BI25*2+BJ25*2+BK25*3/2+BL25*3/2+BM25+BN25*3/2+BO25+BP25+BQ25+BR25+BS25+BT25/2+BU25/2+BV25*5+BW25*2 + BY25+BZ25+CA25- 3*AJ25/12.011*BE25/(H25*2/60.08+I25*2/79.88+J25*3/101.96+K25*3/151.99+L25*3/159.69+M25/71.85+O25/70.94+P25/40.3+Q25/74.69+R25/81.38+S25/56.08+T25/61.98+U25/94.2+V25*5/141.944522+W25*3/80.06+X25/18.9984+Y25/35.453+AI25/44.01*2-AS25/12.011-AW25/32.065-2*AX25/32.065+AY25*3/32.065+AH25/18.01528))</f>
        <v>32.333491833439695</v>
      </c>
      <c r="CE25" s="12"/>
      <c r="CF25" s="67" t="str">
        <f t="shared" si="106"/>
        <v>mol % oxide O2</v>
      </c>
      <c r="CG25" s="81">
        <f t="shared" ref="CG25:CG26" si="165">IF((CF25="mol % oxide O2"),H25/60.084*100/(H25/60.084+I25/79.866+J25/101.961+K25/151.99+M25/71.844+2*L25/159.69+O25/70.937+P25/40.304+Q25/74.693+R25/81.38+S25/56.077+T25/61.979+U25/94.196+AH25/18.015+1/2*L25/159.69),
IF((CF25="wt % oxide O2"),H25/60.084*100/(H25/60.084+I25/79.866+J25/101.961+K25/151.99+M25/71.844+2*L25/159.69+O25/70.937+P25/40.304+Q25/74.693+R25/81.38+S25/56.077+T25/61.979+U25/94.196+AH25/18.015+1/2*L25/159.69),
IF((CF25="mol % oxide O"),H25/60.084*100/(H25/60.084+I25/79.866+J25/101.961+K25/151.99+M25/71.844+2*L25/159.69+O25/70.937+P25/40.304+Q25/74.693+R25/81.38+S25/56.077+T25/61.979+U25/94.196+AH25/18.015+L25/159.69),
IF((CF25="mol % oxide Fe2O3"),H25/60.084*100/(H25/60.084+I25/79.866+J25/101.961+K25/151.99+M25/71.844+L25/159.69+O25/70.937+P25/40.304+Q25/74.693+R25/81.38+S25/56.077+T25/61.979+U25/94.196+AH25/18.015),
IF((CF25="mineral oxide O2"),BI25,
IF((CF25=""),"",
))))))</f>
        <v>28.437314837146772</v>
      </c>
      <c r="CH25" s="81">
        <f t="shared" ref="CH25:CH26" si="166">IF((CF25="mol % oxide O2"),I25/79.866*100/(H25/60.084+I25/79.866+J25/101.961+K25/151.99+M25/71.844+2*L25/159.69+O25/70.937+P25/40.304+Q25/74.693+R25/81.38+S25/56.077+T25/61.979+U25/94.196+AH25/18.015+1/2*L25/159.69),
IF((CF25="mol % oxide O"),I25/79.866*100/(H25/60.084+I25/79.866+J25/101.961+K25/151.99+M25/71.844+2*L25/159.69+O25/70.937+P25/40.304+Q25/74.693+R25/81.38+S25/56.077+T25/61.979+U25/94.196+AH25/18.015+L25/159.69),
IF((CF25="mol % oxide Fe2O3"),I25/79.866*100/(H25/60.084+I25/79.866+J25/101.961+K25/151.99+M25/71.844+L25/159.69+O25/70.937+P25/40.304+Q25/74.693+R25/81.38+S25/56.077+T25/61.979+U25/94.196+AH25/18.015),
IF((CF25="mineral oxide O2"),BJ25,
IF((CF25=""),"",
)))))</f>
        <v>0</v>
      </c>
      <c r="CI25" s="81">
        <f t="shared" ref="CI25:CI26" si="167">IF((CF25="mol % oxide O2"),J25/101.961*100/(H25/60.084+I25/79.866+J25/101.961+K25/151.99+M25/71.844+2*L25/159.69+O25/70.937+P25/40.304+Q25/74.693+R25/81.38+S25/56.077+T25/61.979+U25/94.196+AH25/18.015+1/2*L25/159.69),
IF((CF25="mol % oxide O"),J25/101.961*100/(H25/60.084+I25/79.866+J25/101.961+K25/151.99+M25/71.844+2*L25/159.69+O25/70.937+P25/40.304+Q25/74.693+R25/81.38+S25/56.077+T25/61.979+U25/94.196+AH25/18.015+L25/159.69),
IF((CF25="mol % oxide Fe2O3"),J25/101.961*100/(H25/60.084+I25/79.866+J25/101.961+K25/151.99+M25/71.844+L25/159.69+O25/70.937+P25/40.304+Q25/74.693+R25/81.38+S25/56.077+T25/61.979+U25/94.196+AH25/18.015),
IF((CF25="mineral oxide O2"),BK25/2,
IF((CF25=""),"",
)))))</f>
        <v>1.4575417311270771</v>
      </c>
      <c r="CJ25" s="81">
        <f t="shared" ref="CJ25:CJ26" si="168">IF((CF25="mol % oxide O2"),K25/151.99*100/(H25/60.084+I25/79.866+J25/101.961+K25/151.99+M25/71.844+2*L25/159.69+O25/70.937+P25/40.304+Q25/74.693+R25/81.38+S25/56.077+T25/61.979+U25/94.196+AH25/18.015+1/2*L25/159.69),
IF((CF25="mol % oxide O"),K25/151.99*100/(H25/60.084+I25/79.866+J25/101.961+K25/151.99+M25/71.844+2*L25/159.69+O25/70.937+P25/40.304+Q25/74.693+R25/81.38+S25/56.077+T25/61.979+U25/94.196+AH25/18.015+L25/159.69),
IF((CF25="mol % oxide Fe2O3"),K25/151.99*100/(H25/60.084+I25/79.866+J25/101.961+K25/151.99+M25/71.844+L25/159.69+O25/70.937+P25/40.304+Q25/74.693+R25/81.38+S25/56.077+T25/61.979+U25/94.196+AH25/18.015),
IF((CF25="mineral oxide O2"),BL25/2,
IF((CF25=""),"",
)))))</f>
        <v>0.11744255696108094</v>
      </c>
      <c r="CK25" s="81">
        <f t="shared" ref="CK25:CK26" si="169">IF((CF25="mol % oxide O2"),(M25/71.844+2*L25/159.69)*100/(H25/60.084+I25/79.866+J25/101.961+K25/151.99+M25/71.844+2*L25/159.69+O25/70.937+P25/40.304+Q25/74.693+R25/81.38+S25/56.077+T25/61.979+U25/94.196+AH25/18.015+1/2*L25/159.69),
IF((CF25="mol % oxide O"),(M25/71.844+2*L25/159.69)*100/(H25/60.084+I25/79.866+J25/101.961+K25/151.99+M25/71.844+2*L25/159.69+O25/70.937+P25/40.304+Q25/74.693+R25/81.38+S25/56.077+T25/61.979+U25/94.196+AH25/18.015+L25/159.69),
IF((CF25="mol % oxide Fe2O3"),M25/71.844*100/(H25/60.084+I25/79.866+J25/101.961+K25/151.99+M25/71.844+L25/159.69+O25/70.937+P25/40.304+Q25/74.693+R25/81.38+S25/56.077+T25/61.979+U25/94.196+AH25/18.015),
IF((CF25="mineral oxide O2"),BN25+BM25,
IF((CF25=""),"",
)))))</f>
        <v>1.889339888561189</v>
      </c>
      <c r="CL25" s="81">
        <f t="shared" ref="CL25:CL26" si="170">IF((CF25="mol % oxide O2"),O25/70.937*100/(H25/60.084+I25/79.866+J25/101.961+K25/151.99+M25/71.844+2*L25/159.69+O25/70.937+P25/40.304+Q25/74.693+R25/81.38+S25/56.077+T25/61.979+U25/94.196+AH25/18.015+1/2*L25/159.69),
IF((CF25="mol % oxide O"),O25/70.937*100/(H25/60.084+I25/79.866+J25/101.961+K25/151.99+M25/71.844+2*L25/159.69+O25/70.937+P25/40.304+Q25/74.693+R25/81.38+S25/56.077+T25/61.979+U25/94.196+AH25/18.015+L25/159.69),
IF((CF25="mol % oxide Fe2O3"),O25/70.937*100/(H25/60.084+I25/79.866+J25/101.961+K25/151.99+M25/71.844+L25/159.69+O25/70.937+P25/40.304+Q25/74.693+R25/81.38+S25/56.077+T25/61.979+U25/94.196+AH25/18.015),
IF((CF25="mineral oxide O2"),BO25,
IF((CF25=""),"",
)))))</f>
        <v>0</v>
      </c>
      <c r="CM25" s="81">
        <f t="shared" ref="CM25:CM26" si="171">IF((CF25="mol % oxide O2"),P25/40.304*100/(H25/60.084+I25/79.866+J25/101.961+K25/151.99+M25/71.844+2*L25/159.69+O25/70.937+P25/40.304+Q25/74.693+R25/81.38+S25/56.077+T25/61.979+U25/94.196+AH25/18.015+1/2*L25/159.69),
IF((CF25="mol % oxide O"),P25/40.304*100/(H25/60.084+I25/79.866+J25/101.961+K25/151.99+M25/71.844+2*L25/159.69+O25/70.937+P25/40.304+Q25/74.693+R25/81.38+S25/56.077+T25/61.979+U25/94.196+AH25/18.015+L25/159.69),
IF((CF25="mol % oxide Fe2O3"),P25/40.304*100/(H25/60.084+I25/79.866+J25/101.961+K25/151.99+M25/71.844+L25/159.69+O25/70.937+P25/40.304+Q25/74.693+R25/81.38+S25/56.077+T25/61.979+U25/94.196+AH25/18.015),
IF((CF25="mineral oxide O2"),BP25,
IF((CF25=""),"",
)))))</f>
        <v>38.726812454563479</v>
      </c>
      <c r="CN25" s="81">
        <f t="shared" ref="CN25:CN26" si="172">IF((CF25="mol % oxide O2"),Q25/74.693*100/(H25/60.084+I25/79.866+J25/101.961+K25/151.99+M25/71.844+2*L25/159.69+O25/70.937+P25/40.304+Q25/74.693+R25/81.38+S25/56.077+T25/61.979+U25/94.196+AH25/18.015+1/2*L25/159.69),
IF((CF25="mol % oxide O"),Q25/74.693*100/(H25/60.084+I25/79.866+J25/101.961+K25/151.99+M25/71.844+2*L25/159.69+O25/70.937+P25/40.304+Q25/74.693+R25/81.38+S25/56.077+T25/61.979+U25/94.196+AH25/18.015+L25/159.69),
IF((CF25="mol % oxide Fe2O3"),Q25/74.693*100/(H25/60.084+I25/79.866+J25/101.961+K25/151.99+M25/71.844+L25/159.69+O25/70.937+P25/40.304+Q25/74.693+R25/81.38+S25/56.077+T25/61.979+U25/94.196+AH25/18.015),
IF((CF25="mineral oxide O2"),BQ25,
IF((CF25=""),"",
)))))</f>
        <v>0</v>
      </c>
      <c r="CO25" s="81">
        <f t="shared" ref="CO25:CO26" si="173">IF((CF25="mol % oxide O2"),R25/81.38*100/(H25/60.084+I25/79.866+J25/101.961+K25/151.99+M25/71.844+2*L25/159.69+O25/70.937+P25/40.304+Q25/74.693+R25/81.38+S25/56.077+T25/61.979+U25/94.196+AH25/18.015+1/2*L25/159.69),
IF((CF25="mol % oxide O"),R25/81.38*100/(H25/60.084+I25/79.866+J25/101.961+K25/151.99+M25/71.844+2*L25/159.69+O25/70.937+P25/40.304+Q25/74.693+R25/81.38+S25/56.077+T25/61.979+U25/94.196+AH25/18.015+L25/159.69),
IF((CF25="mol % oxide Fe2O3"),R25/81.38*100/(H25/60.084+I25/79.866+J25/101.961+K25/151.99+M25/71.844+L25/159.69+O25/70.937+P25/40.304+Q25/74.693+R25/81.38+S25/56.077+T25/61.979+U25/94.196+AH25/18.015),
IF((CF25="mineral oxide O2"),BR25,
IF((CF25=""),"",
)))))</f>
        <v>0</v>
      </c>
      <c r="CP25" s="81">
        <f t="shared" ref="CP25:CP26" si="174">IF((CF25="mol % oxide O2"),S25/56.077*100/(H25/60.084+I25/79.866+J25/101.961+K25/151.99+M25/71.844+2*L25/159.69+O25/70.937+P25/40.304+Q25/74.693+R25/81.38+S25/56.077+T25/61.979+U25/94.196+AH25/18.015+1/2*L25/159.69),
IF((CF25="mol % oxide O"),S25/56.077*100/(H25/60.084+I25/79.866+J25/101.961+K25/151.99+M25/71.844+2*L25/159.69+O25/70.937+P25/40.304+Q25/74.693+R25/81.38+S25/56.077+T25/61.979+U25/94.196+AH25/18.015+L25/159.69),
IF((CF25="mol % oxide Fe2O3"),S25/56.077*100/(H25/60.084+I25/79.866+J25/101.961+K25/151.99+M25/71.844+L25/159.69+O25/70.937+P25/40.304+Q25/74.693+R25/81.38+S25/56.077+T25/61.979+U25/94.196+AH25/18.015),
IF((CF25="mineral oxide O2"),BS25,
IF((CF25=""),"",
)))))</f>
        <v>0</v>
      </c>
      <c r="CQ25" s="81">
        <f t="shared" ref="CQ25:CQ26" si="175">IF((CF25="mol % oxide O2"),T25/61.979*100/(H25/60.084+I25/79.866+J25/101.961+K25/151.99+M25/71.844+2*L25/159.69+O25/70.937+P25/40.304+Q25/74.693+R25/81.38+S25/56.077+T25/61.979+U25/94.196+AH25/18.015+1/2*L25/159.69),
IF((CF25="mol % oxide O"),T25/61.979*100/(H25/60.084+I25/79.866+J25/101.961+K25/151.99+M25/71.844+2*L25/159.69+O25/70.937+P25/40.304+Q25/74.693+R25/81.38+S25/56.077+T25/61.979+U25/94.196+AH25/18.015+L25/159.69),
IF((CF25="mol % oxide Fe2O3"),T25/61.979*100/(H25/60.084+I25/79.866+J25/101.961+K25/151.99+M25/71.844+L25/159.69+O25/70.937+P25/40.304+Q25/74.693+R25/81.38+S25/56.077+T25/61.979+U25/94.196+AH25/18.015),
IF((CF25="mineral oxide O2"),BT25/2,
IF((CF25=""),"",
)))))</f>
        <v>0</v>
      </c>
      <c r="CR25" s="81">
        <f t="shared" ref="CR25:CR26" si="176">IF((CF25="mol % oxide O2"),U25/94.196*100/(H25/60.084+I25/79.866+J25/101.961+K25/151.99+M25/71.844+2*L25/159.69+O25/70.937+P25/40.304+Q25/74.693+R25/81.38+S25/56.077+T25/61.979+U25/94.196+AH25/18.015+1/2*L25/159.69),
IF((CF25="mol % oxide O"),U25/94.196*100/(H25/60.084+I25/79.866+J25/101.961+K25/151.99+M25/71.844+2*L25/159.69+O25/70.937+P25/40.304+Q25/74.693+R25/81.38+S25/56.077+T25/61.979+U25/94.196+AH25/18.015+L25/159.69),
IF((CF25="mol % oxide Fe2O3"),U25/94.196*100/(H25/60.084+I25/79.866+J25/101.961+K25/151.99+M25/71.844+L25/159.69+O25/70.937+P25/40.304+Q25/74.693+R25/81.38+S25/56.077+T25/61.979+U25/94.196+AH25/18.015),
IF((CF25="mineral oxide O2"),BU25/2,
IF((CF25=""),"",
)))))</f>
        <v>0</v>
      </c>
      <c r="CS25" s="81">
        <f t="shared" ref="CS25:CS26" si="177">IF((CF25="mol % oxide O2"),V25/141.943*100/(H25/60.084+I25/79.866+J25/101.961+K25/151.99+M25/71.844+2*L25/159.69+O25/70.937+P25/40.304+Q25/74.693+R25/81.38+S25/56.077+T25/61.979+U25/94.196+AH25/18.015+1/2*L25/159.69),
IF((CF25="mol % oxide O"),V25/141.943*100/(H25/60.084+I25/79.866+J25/101.961+K25/151.99+M25/71.844+2*L25/159.69+O25/70.937+P25/40.304+Q25/74.693+R25/81.38+S25/56.077+T25/61.979+U25/94.196+AH25/18.015+L25/159.69),
IF((CF25="mol % oxide Fe2O3"),V25/141.943*100/(H25/60.084+I25/79.866+J25/101.961+K25/151.99+M25/71.844+L25/159.69+O25/70.937+P25/40.304+Q25/74.693+R25/81.38+S25/56.077+T25/61.979+U25/94.196+AH25/18.015),
IF((CF25="mineral oxide O2"),BV25/2,
IF((CF25=""),"",
)))))</f>
        <v>0</v>
      </c>
      <c r="CT25" s="81">
        <f t="shared" ref="CT25:CT26" si="178">IF((CF25="mol % oxide O2"),AI25/44.01*100/(H25/60.084+I25/79.866+J25/101.961+K25/151.99+M25/71.844+2*L25/159.69+O25/70.937+P25/40.304+Q25/74.693+R25/81.38+S25/56.077+T25/61.979+U25/94.196+AH25/18.015+1/2*L25/159.69+AI25/44.01+W25/80.06/2+X25/20/2+Y25/2/35.453),
IF((CF25="mol % oxide O"),AI25/44.01*100/(H25/60.084+I25/79.866+J25/101.961+K25/151.99+M25/71.844+2*L25/159.69+O25/70.937+P25/40.304+Q25/74.693+R25/81.38+S25/56.077+T25/61.979+U25/94.196+AH25/18.015+L25/159.69+AI25/44.01+W25/80.06/2+X25/20/2+Y25/2/35.453),
IF((CF25="mol % oxide Fe2O3"),AI25/44.01*100/(H25/60.084+I25/79.866+J25/101.961+K25/151.99+M25/71.844+L25/159.69+O25/70.937+P25/40.304+Q25/74.693+R25/81.38+S25/56.077+T25/61.979+U25/94.196+AH25/18.015+AI25/44.01+W25/80.06/2+X25/20/2+Y25/2/35.453),
IF((CF25="mineral oxide O2"),BW25,
IF((CF25=""),"",
)))))</f>
        <v>0</v>
      </c>
      <c r="CU25" s="81">
        <f t="shared" ref="CU25:CU26" si="179">IF((CF25="mol % oxide O2"),W25/80.06/2*100/(H25/60.084+I25/79.866+J25/101.961+K25/151.99+M25/71.844+2*L25/159.69+O25/70.937+P25/40.304+Q25/74.693+R25/81.38+S25/56.077+T25/61.979+U25/94.196+AH25/18.015+1/2*L25/159.69+AI25/44.01+W25/80.06/2+X25/20/2+Y25/2/35.453),
IF((CF25="mol % oxide O"),W25/80.06/2*100/(H25/60.084+I25/79.866+J25/101.961+K25/151.99+M25/71.844+2*L25/159.69+O25/70.937+P25/40.304+Q25/74.693+R25/81.38+S25/56.077+T25/61.979+U25/94.196+AH25/18.015+L25/159.69+AI25/44.01+W25/80.06/2+X25/20/2+Y25/2/35.453),
IF((CF25="mol % oxide Fe2O3"),W25/80.06/2*100/(H25/60.084+I25/79.866+J25/101.961+K25/151.99+M25/71.844+L25/159.69+O25/70.937+P25/40.304+Q25/74.693+R25/81.38+S25/56.077+T25/61.979+U25/94.196+AH25/18.015+AI25/44.01+W25/80.06/2+X25/20/2+Y25/2/35.453),
IF((CF25="mineral oxide O2"),BW25,
IF((CF25=""),"",
)))))</f>
        <v>0</v>
      </c>
      <c r="CV25" s="81">
        <f t="shared" ref="CV25:CV26" si="180">IF((CF25="mol % oxide O2"),X25/2/20*100/(H25/60.084+I25/79.866+J25/101.961+K25/151.99+M25/71.844+2*L25/159.69+O25/70.937+P25/40.304+Q25/74.693+R25/81.38+S25/56.077+T25/61.979+U25/94.196+AH25/18.015+1/2*L25/159.69+AI25/44.01+W25/80.06/2+X25/20/2+Y25/2/35.453),
IF((CF25="mol % oxide O"),X25/2/20*100/(H25/60.084+I25/79.866+J25/101.961+K25/151.99+M25/71.844+2*L25/159.69+O25/70.937+P25/40.304+Q25/74.693+R25/81.38+S25/56.077+T25/61.979+U25/94.196+AH25/18.015+L25/159.69+AI25/44.01+W25/80.06/2+X25/20/2+Y25/2/35.453),
IF((CF25="mol % oxide Fe2O3"),X25/2/20*100/(H25/60.084+I25/79.866+J25/101.961+K25/151.99+M25/71.844+L25/159.69+O25/70.937+P25/40.304+Q25/74.693+R25/81.38+S25/56.077+T25/61.979+U25/94.196+AH25/18.015+AI25/44.01+W25/80.06/2+X25/20/2+Y25/2/35.453),
IF((CF25="mineral oxide O2"),BY25,
IF((CF25=""),"",
)))))</f>
        <v>0</v>
      </c>
      <c r="CW25" s="81">
        <f t="shared" ref="CW25:CW26" si="181">IF((CF25="mol % oxide O2"),Y25/2/35.453*100/(H25/60.084+I25/79.866+J25/101.961+K25/151.99+M25/71.844+2*L25/159.69+O25/70.937+P25/40.304+Q25/74.693+R25/81.38+S25/56.077+T25/61.979+U25/94.196+AH25/18.015+1/2*L25/159.69+AI25/44.01+W25/80.06/2+X25/20/2+Y25/2/35.453),
IF((CF25="mol % oxide O"),Y25/2/35.453*100/(H25/60.084+I25/79.866+J25/101.961+K25/151.99+M25/71.844+2*L25/159.69+O25/70.937+P25/40.304+Q25/74.693+R25/81.38+S25/56.077+T25/61.979+U25/94.196+AH25/18.015+L25/159.69+AI25/44.01+W25/80.06/2+X25/20/2+Y25/2/35.453),
IF((CF25="mol % oxide Fe2O3"),Y25/2/35.453*100/(H25/60.084+I25/79.866+J25/101.961+K25/151.99+M25/71.844+L25/159.69+O25/70.937+P25/40.304+Q25/74.693+R25/81.38+S25/56.077+T25/61.979+U25/94.196+AH25/18.015+AI25/44.01+W25/80.06/2+X25/20/2+Y25/2/35.453),
IF((CF25="mineral oxide O2"),BZ25,
IF((CF25=""),"",
)))))</f>
        <v>0</v>
      </c>
      <c r="CX25" s="81">
        <f t="shared" ref="CX25:CX26" si="182">IF((CF25="mol % oxide O2"),AH25/18.015*100/(H25/60.084+I25/79.866+J25/101.961+K25/151.99+M25/71.844+2*L25/159.69+O25/70.937+P25/40.304+Q25/74.693+R25/81.38+S25/56.077+T25/61.979+U25/94.196+AH25/18.015+1/2*L25/159.69),
IF((CF25="mol % oxide O"),AH25/18.015*100/(H25/60.084+I25/79.866+J25/101.961+K25/151.99+M25/71.844+2*L25/159.69+O25/70.937+P25/40.304+Q25/74.693+R25/81.38+S25/56.077+T25/61.979+U25/94.196+AH25/18.015+L25/159.69),
IF((CF25="mol % oxide Fe2O3"),AH25/18.015*100/(H25/60.084+I25/79.866+J25/101.961+K25/151.99+M25/71.844+L25/159.69+O25/70.937+P25/40.304+Q25/74.693+R25/81.38+S25/56.077+T25/61.979+U25/94.196+AH25/18.015),
IF((CF25="mineral oxide O2"),CA25,
IF((CF25=""),"",
)))))</f>
        <v>29.280565085787025</v>
      </c>
      <c r="CY25" s="81">
        <f t="shared" ref="CY25:CY26" si="183">IF((CF25="mol % oxide O2"),1/2*L25/159.69*100/(H25/60.084+I25/79.866+J25/101.961+K25/151.99+M25/71.844+2*L25/159.69+O25/70.937+P25/40.304+Q25/74.693+R25/81.38+S25/56.077+T25/61.979+U25/94.196+AH25/18.015+1/2*L25/159.69),
IF((CF25="mol % oxide O"),L25/159.69*100/(H25/60.084+I25/79.866+J25/101.961+K25/151.99+M25/71.844+2*L25/159.69+O25/70.937+P25/40.304+Q25/74.693+R25/81.38+S25/56.077+T25/61.979+U25/94.196+AH25/18.015+L25/159.69),
IF((CF25="mol % oxide Fe2O3"),L25/159.69*100/(H25/60.084+I25/79.866+J25/101.961+K25/151.99+M25/71.844+L25/159.69+O25/70.937+P25/40.304+Q25/74.693+R25/81.38+S25/56.077+T25/61.979+U25/94.196+AH25/18.015),
IF((CF25="mineral oxide O2"),BN25*1/4,
IF((CF25=""),"",
)))))</f>
        <v>9.0983445853377864E-2</v>
      </c>
      <c r="CZ25" s="81"/>
      <c r="DA25" s="67" t="s">
        <v>280</v>
      </c>
      <c r="DB25" s="60">
        <f t="shared" ref="DB25:DB26" si="184">BI25*2</f>
        <v>13.965682423096117</v>
      </c>
      <c r="DC25" s="60">
        <f t="shared" ref="DC25:DC26" si="185">BJ25*2</f>
        <v>0</v>
      </c>
      <c r="DD25" s="67">
        <f t="shared" ref="DD25:DD26" si="186">BK25*3/2</f>
        <v>1.0736461691684891</v>
      </c>
      <c r="DE25" s="67">
        <f t="shared" ref="DE25:DE26" si="187">BL25*3/2</f>
        <v>8.6509025449741483E-2</v>
      </c>
      <c r="DF25" s="94" t="e">
        <f t="shared" ref="DF25:DF26" si="188">BM25+BN25</f>
        <v>#VALUE!</v>
      </c>
      <c r="DG25" s="94">
        <f t="shared" ref="DG25:DG26" si="189">BO25</f>
        <v>0</v>
      </c>
      <c r="DH25" s="95">
        <f t="shared" ref="DH25:DH26" si="190">BP25</f>
        <v>9.5097592639851012</v>
      </c>
      <c r="DI25" s="94">
        <f t="shared" ref="DI25:DI26" si="191">BQ25</f>
        <v>0</v>
      </c>
      <c r="DJ25" s="94">
        <f t="shared" ref="DJ25:DJ26" si="192">BR25</f>
        <v>0</v>
      </c>
      <c r="DK25" s="94">
        <f t="shared" ref="DK25:DK26" si="193">BS25</f>
        <v>0</v>
      </c>
      <c r="DL25" s="94">
        <f t="shared" ref="DL25:DL26" si="194">BT25</f>
        <v>0</v>
      </c>
      <c r="DM25" s="94">
        <f t="shared" ref="DM25:DM26" si="195">BU25</f>
        <v>0</v>
      </c>
      <c r="DN25" s="94">
        <f t="shared" ref="DN25:DN26" si="196">BV25*5/2</f>
        <v>0</v>
      </c>
      <c r="DO25" s="94">
        <f t="shared" ref="DO25:DO26" si="197">CA25</f>
        <v>7.1893126489938677</v>
      </c>
      <c r="DP25" s="94">
        <f t="shared" ref="DP25:DP26" si="198">CB25*2</f>
        <v>32.333491833439695</v>
      </c>
    </row>
    <row r="26" spans="1:120" s="28" customFormat="1" ht="16" customHeight="1">
      <c r="A26" s="4">
        <v>13</v>
      </c>
      <c r="B26" s="4"/>
      <c r="C26" s="5" t="s">
        <v>294</v>
      </c>
      <c r="D26" s="5" t="s">
        <v>282</v>
      </c>
      <c r="E26" s="4"/>
      <c r="F26" s="4"/>
      <c r="G26" s="4"/>
      <c r="H26" s="4"/>
      <c r="I26" s="4"/>
      <c r="J26" s="4"/>
      <c r="K26" s="4"/>
      <c r="L26" s="58">
        <v>68.97</v>
      </c>
      <c r="M26" s="59">
        <v>31.03</v>
      </c>
      <c r="N26" s="60">
        <f>L26*1/((159.69/71.844)/2)+M26</f>
        <v>93.08874732293819</v>
      </c>
      <c r="O26" s="4"/>
      <c r="P26" s="4"/>
      <c r="Q26" s="39"/>
      <c r="R26" s="39"/>
      <c r="S26" s="4"/>
      <c r="T26" s="4"/>
      <c r="U26" s="4"/>
      <c r="V26" s="39"/>
      <c r="W26" s="60"/>
      <c r="X26" s="39"/>
      <c r="Y26" s="39"/>
      <c r="Z26" s="70"/>
      <c r="AA26" s="70"/>
      <c r="AB26" s="24">
        <f t="shared" ref="AB26" si="199">-(15.9995/(2*18.9984))*X26</f>
        <v>0</v>
      </c>
      <c r="AC26" s="24">
        <f t="shared" ref="AC26" si="200">-(15.9995/(2*35.453))*Y26</f>
        <v>0</v>
      </c>
      <c r="AD26" s="24">
        <f t="shared" ref="AD26" si="201">SUM(H26:Z26)-N26</f>
        <v>100</v>
      </c>
      <c r="AE26" s="24"/>
      <c r="AF26" s="71">
        <f t="shared" ref="AF26" si="202">IF(M26&lt;&gt;"",2*L26/159.69/(N26/71.844),0)</f>
        <v>0.66666218106520991</v>
      </c>
      <c r="AG26" s="97">
        <v>0.79</v>
      </c>
      <c r="AH26" s="97">
        <f>AO26-AI26</f>
        <v>-3.4443300000000003</v>
      </c>
      <c r="AI26" s="97"/>
      <c r="AJ26" s="60"/>
      <c r="AK26" s="60"/>
      <c r="AL26" s="60"/>
      <c r="AM26" s="60"/>
      <c r="AN26" s="60"/>
      <c r="AO26" s="60">
        <f t="shared" ref="AO26" si="203">Z26-M26*0.111+AL26/10000*0.7484 +AM26/10000*0.3742</f>
        <v>-3.4443300000000003</v>
      </c>
      <c r="AP26" s="124">
        <f t="shared" ref="AP26" si="204">IF(M26&lt;&gt;"",SUM(P26,H26,J26,O26,M26,L26,Q26,R26,S26,I26,K26,AG26,AI26,T26,U26,X26,Y26,AB26,AC26,W26,V26),
IF(M26="",SUM(P26,H26,J26,O26,N26,Q26,R26,S26,I26,K26,AG26,AI26,T26,U26,X26,Y26,AB26,AC26,W26,V26),
))</f>
        <v>100.79</v>
      </c>
      <c r="AQ26" s="126"/>
      <c r="AR26" s="126"/>
      <c r="AS26" s="140">
        <f t="shared" ref="AS26" si="205">AJ26</f>
        <v>0</v>
      </c>
      <c r="AT26" s="140">
        <f t="shared" ref="AT26" si="206">AI26*(12.011/(12.011+2*15.999))*100/AP26</f>
        <v>0</v>
      </c>
      <c r="AU26" s="140">
        <f t="shared" ref="AU26" si="207">IF(M26="",N26*(55.845/(55.845+15.999))*100/AP26,M26*(55.845/(55.845+15.999))*100/AP26)</f>
        <v>23.930849827369297</v>
      </c>
      <c r="AV26" s="140">
        <f t="shared" ref="AV26" si="208">L26*(2*55.845/(2*55.845+3*15.999))*100/AP26</f>
        <v>47.861632717157512</v>
      </c>
      <c r="AW26" s="140">
        <f t="shared" ref="AW26" si="209">AL26/10000*100/AP26</f>
        <v>0</v>
      </c>
      <c r="AX26" s="140">
        <f t="shared" ref="AX26" si="210">AM26/10000*100/AP26</f>
        <v>0</v>
      </c>
      <c r="AY26" s="140">
        <f t="shared" ref="AY26" si="211">AN26/10000*100/AP26</f>
        <v>0</v>
      </c>
      <c r="AZ26" s="126"/>
      <c r="BA26" s="68" t="s">
        <v>146</v>
      </c>
      <c r="BB26" s="124"/>
      <c r="BC26" s="96" t="s">
        <v>302</v>
      </c>
      <c r="BD26" s="124"/>
      <c r="BE26" s="50" t="str">
        <f t="shared" si="141"/>
        <v/>
      </c>
      <c r="BF26" s="50" t="str">
        <f t="shared" si="142"/>
        <v/>
      </c>
      <c r="BG26" s="51"/>
      <c r="BH26" s="12"/>
      <c r="BI26" s="76">
        <f t="shared" si="143"/>
        <v>0</v>
      </c>
      <c r="BJ26" s="76">
        <f t="shared" si="144"/>
        <v>0</v>
      </c>
      <c r="BK26" s="76">
        <f t="shared" si="145"/>
        <v>0</v>
      </c>
      <c r="BL26" s="76">
        <f t="shared" si="146"/>
        <v>0</v>
      </c>
      <c r="BM26" s="76">
        <f t="shared" si="147"/>
        <v>12.855149967945925</v>
      </c>
      <c r="BN26" s="77" t="str">
        <f t="shared" si="148"/>
        <v>-</v>
      </c>
      <c r="BO26" s="76">
        <f t="shared" si="149"/>
        <v>0</v>
      </c>
      <c r="BP26" s="76">
        <f t="shared" si="150"/>
        <v>0</v>
      </c>
      <c r="BQ26" s="76">
        <f t="shared" si="151"/>
        <v>0</v>
      </c>
      <c r="BR26" s="76">
        <f t="shared" si="152"/>
        <v>0</v>
      </c>
      <c r="BS26" s="76">
        <f t="shared" si="153"/>
        <v>0</v>
      </c>
      <c r="BT26" s="76">
        <f t="shared" si="154"/>
        <v>0</v>
      </c>
      <c r="BU26" s="76">
        <f t="shared" si="155"/>
        <v>0</v>
      </c>
      <c r="BV26" s="76">
        <f t="shared" si="156"/>
        <v>0</v>
      </c>
      <c r="BW26" s="76">
        <f t="shared" si="157"/>
        <v>0</v>
      </c>
      <c r="BX26" s="76">
        <f t="shared" si="158"/>
        <v>0</v>
      </c>
      <c r="BY26" s="78">
        <f t="shared" si="159"/>
        <v>0</v>
      </c>
      <c r="BZ26" s="76">
        <f t="shared" si="160"/>
        <v>0</v>
      </c>
      <c r="CA26" s="76">
        <f t="shared" si="161"/>
        <v>-1.8969081073160232</v>
      </c>
      <c r="CB26" s="76">
        <f t="shared" si="162"/>
        <v>7.6219908297787846</v>
      </c>
      <c r="CC26" s="12">
        <f t="shared" si="163"/>
        <v>9.0613337533138782</v>
      </c>
      <c r="CD26" s="12">
        <f t="shared" si="164"/>
        <v>15.243981659557569</v>
      </c>
      <c r="CE26" s="12"/>
      <c r="CF26" s="67" t="str">
        <f t="shared" si="106"/>
        <v>mol % oxide O2</v>
      </c>
      <c r="CG26" s="81">
        <f t="shared" si="165"/>
        <v>0</v>
      </c>
      <c r="CH26" s="81">
        <f t="shared" si="166"/>
        <v>0</v>
      </c>
      <c r="CI26" s="81">
        <f t="shared" si="167"/>
        <v>0</v>
      </c>
      <c r="CJ26" s="81">
        <f t="shared" si="168"/>
        <v>0</v>
      </c>
      <c r="CK26" s="81">
        <f t="shared" si="169"/>
        <v>98.125104981512649</v>
      </c>
      <c r="CL26" s="81">
        <f t="shared" si="170"/>
        <v>0</v>
      </c>
      <c r="CM26" s="81">
        <f t="shared" si="171"/>
        <v>0</v>
      </c>
      <c r="CN26" s="81">
        <f t="shared" si="172"/>
        <v>0</v>
      </c>
      <c r="CO26" s="81">
        <f t="shared" si="173"/>
        <v>0</v>
      </c>
      <c r="CP26" s="81">
        <f t="shared" si="174"/>
        <v>0</v>
      </c>
      <c r="CQ26" s="81">
        <f t="shared" si="175"/>
        <v>0</v>
      </c>
      <c r="CR26" s="81">
        <f t="shared" si="176"/>
        <v>0</v>
      </c>
      <c r="CS26" s="81">
        <f t="shared" si="177"/>
        <v>0</v>
      </c>
      <c r="CT26" s="81">
        <f t="shared" si="178"/>
        <v>0</v>
      </c>
      <c r="CU26" s="81">
        <f t="shared" si="179"/>
        <v>0</v>
      </c>
      <c r="CV26" s="81">
        <f t="shared" si="180"/>
        <v>0</v>
      </c>
      <c r="CW26" s="81">
        <f t="shared" si="181"/>
        <v>0</v>
      </c>
      <c r="CX26" s="81">
        <f t="shared" si="182"/>
        <v>-14.479179107569633</v>
      </c>
      <c r="CY26" s="81">
        <f t="shared" si="183"/>
        <v>16.354074126056979</v>
      </c>
      <c r="CZ26" s="81"/>
      <c r="DA26" s="67" t="s">
        <v>280</v>
      </c>
      <c r="DB26" s="60">
        <f t="shared" si="184"/>
        <v>0</v>
      </c>
      <c r="DC26" s="60">
        <f t="shared" si="185"/>
        <v>0</v>
      </c>
      <c r="DD26" s="67">
        <f t="shared" si="186"/>
        <v>0</v>
      </c>
      <c r="DE26" s="67">
        <f t="shared" si="187"/>
        <v>0</v>
      </c>
      <c r="DF26" s="94" t="e">
        <f t="shared" si="188"/>
        <v>#VALUE!</v>
      </c>
      <c r="DG26" s="94">
        <f t="shared" si="189"/>
        <v>0</v>
      </c>
      <c r="DH26" s="95">
        <f t="shared" si="190"/>
        <v>0</v>
      </c>
      <c r="DI26" s="94">
        <f t="shared" si="191"/>
        <v>0</v>
      </c>
      <c r="DJ26" s="94">
        <f t="shared" si="192"/>
        <v>0</v>
      </c>
      <c r="DK26" s="94">
        <f t="shared" si="193"/>
        <v>0</v>
      </c>
      <c r="DL26" s="94">
        <f t="shared" si="194"/>
        <v>0</v>
      </c>
      <c r="DM26" s="94">
        <f t="shared" si="195"/>
        <v>0</v>
      </c>
      <c r="DN26" s="94">
        <f t="shared" si="196"/>
        <v>0</v>
      </c>
      <c r="DO26" s="94">
        <f t="shared" si="197"/>
        <v>-1.8969081073160232</v>
      </c>
      <c r="DP26" s="94">
        <f t="shared" si="198"/>
        <v>15.243981659557569</v>
      </c>
    </row>
    <row r="27" spans="1:120" ht="16" customHeight="1">
      <c r="C27" s="57" t="s">
        <v>146</v>
      </c>
      <c r="D27" s="67" t="s">
        <v>501</v>
      </c>
      <c r="H27" s="60">
        <f>H25*0.97+0.03*H26</f>
        <v>39.925199999999997</v>
      </c>
      <c r="I27" s="60"/>
      <c r="J27" s="60">
        <f t="shared" ref="J27:Z27" si="212">J25*0.97+0.03*J26</f>
        <v>3.4725999999999999</v>
      </c>
      <c r="K27" s="60">
        <f t="shared" si="212"/>
        <v>0.41709999999999997</v>
      </c>
      <c r="L27" s="60">
        <f t="shared" si="212"/>
        <v>2.7480999999999995</v>
      </c>
      <c r="M27" s="60">
        <f t="shared" si="212"/>
        <v>3.4916999999999998</v>
      </c>
      <c r="N27" s="60">
        <f t="shared" si="212"/>
        <v>5.9644221040766485</v>
      </c>
      <c r="O27" s="60"/>
      <c r="P27" s="60">
        <f t="shared" si="212"/>
        <v>36.472000000000001</v>
      </c>
      <c r="Q27" s="60"/>
      <c r="R27" s="60"/>
      <c r="S27" s="60"/>
      <c r="T27" s="60"/>
      <c r="U27" s="60"/>
      <c r="V27" s="60"/>
      <c r="W27" s="60"/>
      <c r="X27" s="60"/>
      <c r="Y27" s="60"/>
      <c r="Z27" s="60">
        <f t="shared" si="212"/>
        <v>12.61</v>
      </c>
      <c r="AF27" s="71">
        <f t="shared" ref="AF27" si="213">IF(M27&lt;&gt;"",2*L27/159.69/(N27/71.844),0)</f>
        <v>0.41457865672963629</v>
      </c>
      <c r="AG27" s="97">
        <v>1.79</v>
      </c>
      <c r="AH27" s="97">
        <f>AO27-AI27</f>
        <v>12.222421299999999</v>
      </c>
      <c r="AI27" s="97"/>
      <c r="AJ27" s="60"/>
      <c r="AK27" s="60"/>
      <c r="AL27" s="60"/>
      <c r="AM27" s="60"/>
      <c r="AN27" s="60"/>
      <c r="AO27" s="60">
        <f t="shared" ref="AO27" si="214">Z27-M27*0.111+AL27/10000*0.7484 +AM27/10000*0.3742</f>
        <v>12.222421299999999</v>
      </c>
      <c r="AP27" s="124">
        <f t="shared" ref="AP27" si="215">IF(M27&lt;&gt;"",SUM(P27,H27,J27,O27,M27,L27,Q27,R27,S27,I27,K27,AG27,AI27,T27,U27,X27,Y27,AB27,AC27,W27,V27),
IF(M27="",SUM(P27,H27,J27,O27,N27,Q27,R27,S27,I27,K27,AG27,AI27,T27,U27,X27,Y27,AB27,AC27,W27,V27),
))</f>
        <v>88.316699999999997</v>
      </c>
      <c r="AQ27" s="126"/>
      <c r="AR27" s="126"/>
      <c r="AS27" s="140">
        <f t="shared" ref="AS27" si="216">AJ27</f>
        <v>0</v>
      </c>
      <c r="AT27" s="140">
        <f t="shared" ref="AT27" si="217">AI27*(12.011/(12.011+2*15.999))*100/AP27</f>
        <v>0</v>
      </c>
      <c r="AU27" s="140">
        <f t="shared" ref="AU27" si="218">IF(M27="",N27*(55.845/(55.845+15.999))*100/AP27,M27*(55.845/(55.845+15.999))*100/AP27)</f>
        <v>3.0731791704493729</v>
      </c>
      <c r="AV27" s="140">
        <f t="shared" ref="AV27" si="219">L27*(2*55.845/(2*55.845+3*15.999))*100/AP27</f>
        <v>2.1763785053989255</v>
      </c>
      <c r="AW27" s="140">
        <f t="shared" ref="AW27" si="220">AL27/10000*100/AP27</f>
        <v>0</v>
      </c>
      <c r="AX27" s="140">
        <f t="shared" ref="AX27" si="221">AM27/10000*100/AP27</f>
        <v>0</v>
      </c>
      <c r="AY27" s="140">
        <f t="shared" ref="AY27" si="222">AN27/10000*100/AP27</f>
        <v>0</v>
      </c>
      <c r="BA27" s="68" t="s">
        <v>146</v>
      </c>
      <c r="BB27" s="124"/>
      <c r="BC27" s="96" t="s">
        <v>302</v>
      </c>
      <c r="BI27" s="76">
        <f t="shared" ref="BI27" si="223">IF(AND(M27&lt;&gt;"",BC27="Anions"),H27/60.08*BE27/(H27*2/60.08+I27*2/79.88+J27*3/101.96+K27*3/151.99+L27*3/159.69+M27/71.85+O27/70.94+P27/40.3+Q27/74.69+R27/81.38+S27/56.08+T27/61.98+U27/94.2+V27*5/141.944522+W27*3/80.06+X27/18.9984+Y27/35.453+AI27/44.01*2-AS27/12.011-AW27/32.065-2*AX27/32.065+AY27*3/32.065+AH27/18.01528),
IF(AND(M27&lt;&gt;"",BC27="mol/kg"),H27/60.08*10*100/AP27,
IF(AND(M27="",BC27="mol/kg"),H27/60.08*10*100/AP27,
IF(AND(M27="",BC27="Anions"),H27/60.08*BE27/(H27*2/60.08+I27*2/79.88+J27*3/101.96+K27*3/151.99+L27*3/159.69+N27/71.85+O27/70.94+P27/40.3+Q27/74.69+R27/81.38+S27/56.08+T27/61.98+U27/94.2+V27*5/141.944522+W27*3/80.06+X27/18.9984+Y27/35.453+AI27/44.01*2-AS27/12.011-AW27/32.065-2*AX27/32.065+AY27*3/32.065+AH27/18.01528),
))))</f>
        <v>7.5244427693406859</v>
      </c>
      <c r="BJ27" s="76">
        <f t="shared" ref="BJ27" si="224">IF(AND(M27&lt;&gt;"",BC27="Anions"),I27/79.88*BE27/(H27*2/60.08+I27*2/79.88+J27*3/101.96+K27*3/151.99+L27*3/159.69+M27/71.85+O27/70.94+P27/40.3+Q27/74.69+R27/81.38+S27/56.08+T27/61.98+U27/94.2+V27*5/141.944522+W27*3/80.06+X27/18.9984+Y27/35.453+AI27/44.01*2-AS27/12.011-AW27/32.065-2*AX27/32.065+AY27*3/32.065+AH27/18.01528),
IF(AND(M27&lt;&gt;"",BC27="mol/kg"),I27/79.88*10*100/AP27,
IF(AND(M27="",BC27="mol/kg"),I27/79.88*10*100/AP27,
IF(AND(M27="",BC27="Anions"),I27/79.88*BE27/(H27*2/60.08+I27*2/79.88+J27*3/101.96+K27*3/151.99+L27*3/159.69+N27/71.85+O27/70.94+P27/40.3+Q27/74.69+R27/81.38+S27/56.08+T27/61.98+U27/94.2+V27*5/141.944522+W27*3/80.06+X27/18.9984+Y27/35.453+AI27/44.01*2-AS27/12.011-AW27/32.065-2*AX27/32.065+AY27*3/32.065+AH27/18.01528),
))))</f>
        <v>0</v>
      </c>
      <c r="BK27" s="76">
        <f t="shared" ref="BK27" si="225">IF(AND(M27&lt;&gt;"",BC27="Anions"),2*J27/101.96*BE27/(H27*2/60.08+I27*2/79.88+J27*3/101.96+K27*3/151.99+L27*3/159.69+M27/71.85+O27/70.94+P27/40.3+Q27/74.69+R27/81.38+S27/56.08+T27/61.98+U27/94.2+V27*5/141.944522+W27*3/80.06+X27/18.9984+Y27/35.453+AI27/44.01*2-AS27/12.011-AW27/32.065-2*AX27/32.065+AY27*3/32.065+AH27/18.01528),
IF(AND(M27&lt;&gt;"",BC27="mol/kg"),2*J27/101.96*10*100/AP27,
IF(AND(M27="",BC27="mol/kg"),2*J27/101.96*10*100/AP27,
IF(AND(M27="",BC27="Anions"),2*J27/101.96*BE27/(H27*2/60.08+I27*2/79.88+J27*3/101.96+K27*3/151.99+L27*3/159.69+N27/71.85+O27/70.94+P27/40.3+Q27/74.69+R27/81.38+S27/56.08+T27/61.98+U27/94.2+V27*5/141.944522+W27*3/80.06+X27/18.9984+Y27/35.453+AI27/44.01*2-AS27/12.011-AW27/32.065-2*AX27/32.065+AY27*3/32.065+AH27/18.01528),
))))</f>
        <v>0.77128004773281333</v>
      </c>
      <c r="BL27" s="76">
        <f t="shared" ref="BL27" si="226">IF(AND(M27&lt;&gt;"",BC27="Anions"),2*K27/151.99*BE27/(H27*2/60.08+I27*2/79.88+J27*3/101.96+K27*3/151.99+L27*3/159.69+M27/71.85+O27/70.94+P27/40.3+Q27/74.69+R27/81.38+S27/56.08+T27/61.98+U27/94.2+V27*5/141.944522+W27*3/80.06+X27/18.9984+Y27/35.453+AI27/44.01*2-AS27/12.011-AW27/32.065-2*AX27/32.065+AY27*3/32.065+AH27/18.01528),
IF(AND(M27&lt;&gt;"",BC27="mol/kg"),2*K27/151.99*10*100/AP27,
IF(AND(M27="",BC27="mol/kg"),2*K27/151.99*10*100/AP27,
IF(AND(M27="",BC27="Anions"),2*K27/151.99*BE27/(H27*2/60.08+I27*2/79.88+J27*3/101.96+K27*3/151.99+L27*3/159.69+N27/71.85+O27/70.94+P27/40.3+Q27/74.69+R27/81.38+S27/56.08+T27/61.98+U27/94.2+V27*5/141.944522+W27*3/80.06+X27/18.9984+Y27/35.453+AI27/44.01*2-AS27/12.011-AW27/32.065-2*AX27/32.065+AY27*3/32.065+AH27/18.01528),
))))</f>
        <v>6.2145879335527031E-2</v>
      </c>
      <c r="BM27" s="76">
        <f t="shared" ref="BM27" si="227">IF(AND(M27&lt;&gt;"",BC27="Anions"),M27/71.85*BE27/(H27*2/60.08+I27*2/79.88+J27*3/101.96+K27*3/151.99+L27*3/159.69+M27/71.85+O27/70.94+P27/40.3+Q27/74.69+R27/81.38+S27/56.08+T27/61.98+U27/94.2+V27*5/141.944522+W27*3/80.06+X27/18.9984+Y27/35.453+AI27/44.01*2-AS27/12.011-AW27/32.065-2*AX27/32.065+AY27*3/32.065+AH27/18.01528),
IF(AND(M27&lt;&gt;"",BC27="mol/kg"),(M27/71.85+L27*2/159.69)*10*100/AP27,
IF(AND(M27="",BC27="mol/kg"),(N27/71.85)*10*100/AP27,
IF(AND(M27="",BC27="Anions"),N27/71.85*BE27/(H27*2/60.08+I27*2/79.88+J27*3/101.96+K27*3/151.99+L27*3/159.69+N27/71.85+O27/70.94+P27/40.3+Q27/74.69+R27/81.38+S27/56.08+T27/61.98+U27/94.2+V27*5/141.944522+W27*3/80.06+X27/18.9984+Y27/35.453+AI27/44.01*2-AS27/12.011-AW27/32.065-2*AX27/32.065+AY27*3/32.065+AH27/18.01528),
))))</f>
        <v>0.93996958664481611</v>
      </c>
      <c r="BN27" s="77" t="str">
        <f t="shared" ref="BN27" si="228">IF(AND(M27&lt;&gt;"",BC27="Anions"),L27*2/159.69*BE27/(H27*2/60.08+I27*2/79.88+J27*3/101.96+K27*3/151.99+L27*3/159.69+M27/71.85+O27/70.94+P27/40.3+Q27/74.69+R27/81.38+S27/56.08+T27/61.98+U27/94.2+V27*5/141.944522+W27*3/80.06+X27/18.9984+Y27/35.453+AI27/44.01*2-AS27/12.011-AW27/32.065-2*AX27/32.065+AY27*3/32.065+AH27/18.01528),
IF(AND(M27&lt;&gt;"",BC27="mol/kg"),"-",
IF(AND(M27="",BC27="mol/kg"),"-",
IF(AND(M27="",BC27="Anions"),L27*2/159.69*BE27/(H27*2/60.08+I27*2/79.88+J27*3/101.96+K27*3/151.99+L27*3/159.69+N27/71.85+O27/70.94+P27/40.3+Q27/74.69+R27/81.38+S27/56.08+T27/61.98+U27/94.2+V27*5/141.944522+W27*3/80.06+X27/18.9984+Y27/35.453+AI27/44.01*2-AS27/12.011-AW27/32.065-2*AX27/32.065+AY27*3/32.065+AH27/18.01528),
))))</f>
        <v>-</v>
      </c>
      <c r="BO27" s="76">
        <f t="shared" ref="BO27" si="229">IF(AND(M27&lt;&gt;"",BC27="Anions"),O27/70.94*BE27/(H27*2/60.08+I27*2/79.88+J27*3/101.96+K27*3/151.99+L27*3/159.69+M27/71.85+O27/70.94+P27/40.3+Q27/74.69+R27/81.38+S27/56.08+T27/61.98+U27/94.2+V27*5/141.944522+W27*3/80.06+X27/18.9984+Y27/35.453+AI27/44.01*2-AS27/12.011-AW27/32.065-2*AX27/32.065+AY27*3/32.065+AH27/18.01528),
IF(AND(M27&lt;&gt;"",BC27="mol/kg"),O27/70.94*10*100/AP27,
IF(AND(M27="",BC27="mol/kg"),O27/70.94*10*100/AP27,
IF(AND(M27="",BC27="Anions"),O27/70.94*BE27/(H27*2/60.08+I27*2/79.88+J27*3/101.96+K27*3/151.99+L27*3/159.69+N27/71.85+O27/70.94+P27/40.3+Q27/74.69+R27/81.38+S27/56.08+T27/61.98+U27/94.2+V27*5/141.944522+W27*3/80.06+X27/18.9984+Y27/35.453+AI27/44.01*2-AS27/12.011-AW27/32.065-2*AX27/32.065+AY27*3/32.065+AH27/18.01528),
))))</f>
        <v>0</v>
      </c>
      <c r="BP27" s="76">
        <f t="shared" ref="BP27" si="230">IF(AND(M27&lt;&gt;"",BC27="Anions"),P27/40.3*BE27/(H27*2/60.08+I27*2/79.88+J27*3/101.96+K27*3/151.99+L27*3/159.69+M27/71.85+O27/70.94+P27/40.3+Q27/74.69+R27/81.38+S27/56.08+T27/61.98+U27/94.2+V27*5/141.944522+W27*3/80.06+X27/18.9984+Y27/35.453+AI27/44.01*2-AS27/12.011-AW27/32.065-2*AX27/32.065+AY27*3/32.065+AH27/18.01528),
IF(AND(M27&lt;&gt;"",BC27="mol/kg"),P27/40.3*10*100/AP27,
IF(AND(M27="",BC27="mol/kg"),P27/40.3*10*100/AP27,
IF(AND(M27="",BC27="Anions"),P27/40.3*BE27/(H27*2/60.08+I27*2/79.88+J27*3/101.96+K27*3/151.99+L27*3/159.69+N27/71.85+O27/70.94+P27/40.3+Q27/74.69+R27/81.38+S27/56.08+T27/61.98+U27/94.2+V27*5/141.944522+W27*3/80.06+X27/18.9984+Y27/35.453+AI27/44.01*2-AS27/12.011-AW27/32.065-2*AW27/32.065+AW27*3/32.065+AH27/18.01528),
))))</f>
        <v>10.247353070799642</v>
      </c>
      <c r="BQ27" s="76">
        <f t="shared" ref="BQ27" si="231">IF(AND(M27&lt;&gt;"",BC27="Anions"),Q27/74.69*BE27/(H27*2/60.08+I27*2/79.88+J27*3/101.96+K27*3/151.99+L27*3/159.69+M27/71.85+O27/70.94+P27/40.3+Q27/74.69+R27/81.38+S27/56.08+T27/61.98+U27/94.2+V27*5/141.944522+W27*3/80.06+X27/18.9984+Y27/35.453+AI27/44.01*2-AS27/12.011-AW27/32.065-2*AX27/32.065+AY27*3/32.065+AH27/18.01528),
IF(AND(M27&lt;&gt;"",BC27="mol/kg"),Q27/74.69*10*100/AP27,
IF(AND(M27="",BC27="mol/kg"),Q27/74.69*10*100/AP27,
IF(AND(M27="",BC27="Anions"),Q27/74.69*BE27/(H27*2/60.08+I27*2/79.88+J27*3/101.96+K27*3/151.99+L27*3/159.69+N27/71.85+O27/70.94+P27/40.3+Q27/74.69+R27/81.38+S27/56.08+T27/61.98+U27/94.2+V27*5/141.944522+W27*3/80.06+X27/18.9984+Y27/35.453+AI27/44.01*2-AS27/12.011-AW27/32.065-2*AX27/32.065+AY27*3/32.065+AH27/18.01528),
))))</f>
        <v>0</v>
      </c>
      <c r="BR27" s="76">
        <f t="shared" ref="BR27" si="232">IF(AND(M27&lt;&gt;"",BC27="Anions"),R27/81.38*BE27/(H27*2/60.08+I27*2/79.88+J27*3/101.96+K27*3/151.99+L27*3/159.69+M27/71.85+O27/70.94+P27/40.3+Q27/74.69+R27/81.38+S27/56.08+T27/61.98+U27/94.2+V27*5/141.944522+W27*3/80.06+X27/18.9984+Y27/35.453+AI27/44.01*2-AS27/12.011-AW27/32.065-2*AX27/32.065+AY27*3/32.065+AH27/18.01528),
IF(AND(M27&lt;&gt;"",BC27="mol/kg"),R27/81.38*10*100/AP27,
IF(AND(M27="",BC27="mol/kg"),R27/81.38*10*100/AP27,
IF(AND(M27="",BC27="Anions"),R27/81.38*BE27/(H27*2/60.08+I27*2/79.88+J27*3/101.96+K27*3/151.99+L27*3/159.69+N27/71.85+O27/70.94+P27/40.3+Q27/74.69+R27/81.38+S27/56.08+T27/61.98+U27/94.2+V27*5/141.944522+W27*3/80.06+X27/18.9984+Y27/35.453+AI27/44.01*2-AS27/12.011-AW27/32.065-2*AX27/32.065+AY27*3/32.065+AH27/18.01528),
))))</f>
        <v>0</v>
      </c>
      <c r="BS27" s="76">
        <f t="shared" ref="BS27" si="233">IF(AND(M27&lt;&gt;"",BC27="Anions"),S27/56.08*BE27/(H27*2/60.08+I27*2/79.88+J27*3/101.96+K27*3/151.99+L27*3/159.69+M27/71.85+O27/70.94+P27/40.3+Q27/74.69+R27/81.38+S27/56.08+T27/61.98+U27/94.2+V27*5/141.944522+W27*3/80.06+X27/18.9984+Y27/35.453+AI27/44.01*2-AS27/12.011-AW27/32.065-2*AX27/32.065+AY27*3/32.065+AH27/18.01528),
IF(AND(M27&lt;&gt;"",BC27="mol/kg"),S27/56.08*10*100/AP27,
IF(AND(M27="",BC27="mol/kg"),S27/56.08*10*100/AP27,
IF(AND(M27="",BC27="Anions"),S27/56.08*BE27/(H27*2/60.08+I27*2/79.88+J27*3/101.96+K27*3/151.99+L27*3/159.69+N27/71.85+O27/70.94+P27/40.3+Q27/74.69+R27/81.38+S27/56.08+T27/61.98+U27/94.2+V27*5/141.944522+W27*3/80.06+X27/18.9984+Y27/35.453+AI27/44.01*2-AS27/12.011-AW27/32.065-2*AW27/32.065+AW27*3/32.065+AH27/18.01528),
))))</f>
        <v>0</v>
      </c>
      <c r="BT27" s="76">
        <f t="shared" ref="BT27" si="234">IF(AND(M27&lt;&gt;"",BC27="Anions"),2*T27/61.98*BE27/(H27*2/60.08+I27*2/79.88+J27*3/101.96+K27*3/151.99+L27*3/159.69+M27/71.85+O27/70.94+P27/40.3+Q27/74.69+R27/81.38+S27/56.08+T27/61.98+U27/94.2+V27*5/141.944522+W27*3/80.06+X27/18.9984+Y27/35.453+AI27/44.01*2-AS27/12.011-AW27/32.065-2*AX27/32.065+AY27*3/32.065+AH27/18.01528),
IF(AND(M27&lt;&gt;"",BC27="mol/kg"),2*T27/61.98*10*100/AP27,
IF(AND(M27="",BC27="mol/kg"),2*T27/61.98*10*100/AP27,
IF(AND(M27="",BC27="Anions"),2*T27/61.98*BE27/(H27*2/60.08+I27*2/79.88+J27*3/101.96+K27*3/151.99+L27*3/159.69+N27/71.85+O27/70.94+P27/40.3+Q27/74.69+R27/81.38+S27/56.08+T27/61.98+U27/94.2+V27*5/141.944522+W27*3/80.06+X27/18.9984+Y27/35.453+AI27/44.01*2-AS27/12.011-AW27/32.065-2*AX27/32.065+AY27*3/32.065+AH27/18.01528),
))))</f>
        <v>0</v>
      </c>
      <c r="BU27" s="76">
        <f t="shared" ref="BU27" si="235">IF(AND(M27&lt;&gt;"",BC27="Anions"),2*U27/94.2*BE27/(H27*2/60.08+I27*2/79.88+J27*3/101.96+K27*3/151.99+L27*3/159.69+M27/71.85+O27/70.94+P27/40.3+Q27/74.69+R27/81.38+S27/56.08+T27/61.98+U27/94.2+V27*5/141.944522+W27*3/80.06+X27/18.9984+Y27/35.453+AI27/44.01*2-AS27/12.011-AW27/32.065-2*AX27/32.065+AY27*3/32.065+AH27/18.01528),
IF(AND(M27&lt;&gt;"",BC27="mol/kg"),2*U27/94.2*10*100/AP27,
IF(AND(M27="",BC27="mol/kg"),2*U27/94.2*10*100/AP27,
IF(AND(M27="",BC27="Anions"),2*U27/94.2*BE27/(H27*2/60.08+I27*2/79.88+J27*3/101.96+K27*3/151.99+L27*3/159.69+N27/71.85+O27/70.94+P27/40.3+Q27/74.69+R27/81.38+S27/56.08+T27/61.98+U27/94.2+V27*5/141.944522+W27*3/80.06+X27/18.9984+Y27/35.453+AI27/44.01*2-AS27/12.011-AW27/32.065-2*AX27/32.065+AY27*3/32.065+AH27/18.01528),
))))</f>
        <v>0</v>
      </c>
      <c r="BV27" s="76">
        <f t="shared" ref="BV27" si="236">IF(AND(M27&lt;&gt;"",BC27="Anions"),V27*2/141.944522*BE27/(H27*2/60.08+I27*2/79.88+J27*3/101.96+K27*3/151.99+L27*3/159.69+M27/71.85+O27/70.94+P27/40.3+Q27/74.69+R27/81.38+S27/56.08+T27/61.98+U27/94.2+V27*5/141.944522+W27*3/80.06+X27/18.9984+Y27/35.453+AI27/44.01*2-AS27/12.011-AW27/32.065-2*AX27/32.065+AY27*3/32.065+AH27/18.01528),
IF(AND(M27&lt;&gt;"",BC27="mol/kg"),V27*2/141.944522*10*100/AP27,
IF(AND(M27="",BC27="mol/kg"),V27*2/141.944522*10*100/AP27,
IF(AND(M27="",BC27="Anions"),V27*2/141.944522*BE27/(H27*2/60.08+I27*2/79.88+J27*3/101.96+K27*3/151.99+L27*3/159.69+N27/71.85+O27/70.94+P27/40.3+Q27/74.69+R27/81.38+S27/56.08+T27/61.98+U27/94.2+V27*5/141.944522+W27*3/80.06+X27/18.9984+Y27/35.453+AI27/44.01*2-AS27/12.011-AW27/32.065-2*AX27/32.065+AY27*3/32.065+AH27/18.01528),
))))</f>
        <v>0</v>
      </c>
      <c r="BW27" s="76">
        <f t="shared" ref="BW27" si="237">IF(AND(M27&lt;&gt;"",BC27="Anions"),(AI27/44.01+AJ27/12.011)*BE27/(H27*2/60.08+I27*2/79.88+J27*3/101.96+K27*3/151.99+L27*3/159.69+M27/71.85+O27/70.94+P27/40.3+Q27/74.69+R27/81.38+S27/56.08+T27/61.98+U27/94.2+V27*5/141.944522+W27*3/80.06+X27/18.9984+Y27/35.453+AI27/44.01*2-AS27/12.011-AW27/32.065-2*AX27/32.065+AY27*3/32.065+AH27/18.01528),
IF(AND(M27&lt;&gt;"",BC27="mol/kg"),(AI27*(12.011/(12.011+31.999))+AJ27)/12.011*10*100/AP27,
IF(AND(M27="",BC27="mol/kg"),(AI27*(12.011/(12.011+31.999))+AJ27)/12.011*10*100/AP27,
IF(AND(M27="",BC27="Anions"),(AI27/44.01+AJ27/12.011)*BE27/(H27*2/60.08+I27*2/79.88+J27*3/101.96+K27*3/151.99+L27*3/159.69+N27/71.85+O27/70.94+P27/40.3+Q27/74.69+R27/81.38+S27/56.08+T27/61.98+U27/94.2+V27*5/141.944522+W27*3/80.06+X27/18.9984+Y27/35.453+AI27/44.01*2-AS27/12.011-AW27/32.065-2*AX27/32.065+AY27*3/32.065+AH27/18.01528),
))))</f>
        <v>0</v>
      </c>
      <c r="BX27" s="76">
        <f t="shared" ref="BX27" si="238">IF(AND(M27&lt;&gt;"",BC27="Anions"),W27/32.06/2*BE27/(H27*2/60.08+I27*2/79.88+J27*3/101.96+K27*3/151.99+L27*3/159.69+M27/71.85+O27/70.94+P27/40.3+Q27/74.69+R27/81.38+S27/56.08+T27/61.98+U27/94.2+V27*5/141.944522+W27*3/80.06+X27/18.9984+Y27/35.453+AI27/44.01*2-AS27/12.011-AW27/32.065-2*AX27/32.065+AY27*3/32.065+AH27/18.01528),
IF(AND(M27&lt;&gt;"",BC27="mol/kg"),W27/32.06/2*10*100/AP27,
IF(AND(M27="",BC27="mol/kg"),W27/32.06/2*10*100/AP27,
IF(AND(M27="",BC27="Anions"),W27/32.06/2*BE27/(H27*2/60.08+I27*2/79.88+J27*3/101.96+K27*3/151.99+L27*3/159.69+N27/71.85+O27/70.94+P27/40.3+Q27/74.69+R27/81.38+S27/56.08+T27/61.98+U27/94.2+V27*5/141.944522+W27*3/80.06+X27/18.9984+Y27/35.453+AI27/44.01*2-AS27/12.011-AW27/32.065-2*AX27/32.065+AY27*3/32.065+AH27/18.01528),
))))</f>
        <v>0</v>
      </c>
      <c r="BY27" s="78">
        <f t="shared" ref="BY27" si="239">IF(AND(M27&lt;&gt;"",BC27="Anions"),X27/18.9984*BE27/(H27*2/60.08+I27*2/79.88+J27*3/101.96+K27*3/151.99+L27*3/159.69+M27/71.85+O27/70.94+P27/40.3+Q27/74.69+R27/81.38+S27/56.08+T27/61.98+U27/94.2+V27*5/141.944522+W27*3/80.06+X27/18.9984+Y27/35.453+AI27/44.01*2-AS27/12.011-AW27/32.065-2*AX27/32.065+AY27*3/32.065+AH27/18.01528),
IF(AND(M27&lt;&gt;"",BC27="mol/kg"),X27/18.9984*10*100/AP27,
IF(AND(M27="",BC27="mol/kg"),X27/18.9984*10*100/AP27,
IF(AND(M27="",BC27="Anions"),X27/18.9984*BE27/(H27*2/60.08+I27*2/79.88+J27*3/101.96+K27*3/151.99+L27*3/159.69+N27/71.85+O27/70.94+P27/40.3+Q27/74.69+R27/81.38+S27/56.08+T27/61.98+U27/94.2+V27*5/141.944522+W27*3/80.06+X27/18.9984+Y27/35.453+AI27/44.01*2-AS27/12.011-AW27/32.065-2*AX27/32.065+AY27*3/32.065+AH27/18.01528),
))))</f>
        <v>0</v>
      </c>
      <c r="BZ27" s="76">
        <f t="shared" ref="BZ27" si="240">IF(AND(M27&lt;&gt;"",BC27="Anions"),Y27/35.453*BE27/(H27*2/60.08+I27*2/79.88+J27*3/101.96+K27*3/151.99+L27*3/159.69+M27/71.85+O27/70.94+P27/40.3+Q27/74.69+R27/81.38+S27/56.08+T27/61.98+U27/94.2+V27*5/141.944522+W27*3/80.06+X27/18.9984+Y27/35.453+AI27/44.01*2-AS27/12.011-AW27/32.065-2*AX27/32.065+AY27*3/32.065+AH27/18.01528),
IF(AND(M27&lt;&gt;"",BC27="mol/kg"),Y27/35.453*10*100/AP27,
IF(AND(M27="",BC27="mol/kg"),Y27/35.453*10*100/AP27,
IF(AND(M27="",BC27="Anions"),Y27/35.453*BE27/(H27*2/60.08+I27*2/79.88+J27*3/101.96+K27*3/151.99+L27*3/159.69+N27/71.85+O27/70.94+P27/40.3+Q27/74.69+R27/81.38+S27/56.08+T27/61.98+U27/94.2+V27*5/141.944522+W27*3/80.06+X27/18.9984+Y27/35.453+AI27/44.01*2-AS27/12.011-AW27/32.065-2*AX27/32.065+AY27*3/32.065+AH27/18.01528),
))))</f>
        <v>0</v>
      </c>
      <c r="CA27" s="76">
        <f t="shared" ref="CA27" si="241">IF(AND(M27&lt;&gt;"",BC27="Anions"),AH27/18.01528*BE27/(H27*2/60.08+I27*2/79.88+J27*3/101.96+K27*3/151.99+L27*3/159.69+M27/71.85+O27/70.94+P27/40.3+Q27/74.69+R27/81.38+S27/56.08+T27/61.98+U27/94.2+V27*5/141.944522+W27*3/80.06+X27/18.9984+Y27/35.453+AI27/44.01*2-AS27/12.011-AW27/32.065-2*AX27/32.065+AY27*3/32.065+AH27/18.01528),
IF(AND(M27&lt;&gt;"",BC27="mol/kg"),AH27/18.01528*10*100/AP27,
IF(AND(M27="",BC27="mol/kg"),AH27/18.01528*10*100/AP27,
IF(AND(M27="",BC27="Anions"),AH27/18.01528*BE27/(H27*2/60.08+I27*2/79.88+J27*3/101.96+K27*3/151.99+L27*3/159.69+N27/71.85+O27/70.94+P27/40.3+Q27/74.69+R27/81.38+S27/56.08+T27/61.98+U27/94.2+V27*5/141.944522+W27*3/80.06+X27/18.9984+Y27/35.453+AI27/44.01*2-AS27/12.011-AW27/32.065-2*AX27/32.065+AY27*3/32.065+AH27/18.01528),
))))</f>
        <v>7.6819840305277838</v>
      </c>
      <c r="CB27" s="76">
        <f t="shared" ref="CB27" si="242">IF(AND(M27&lt;&gt;"",BC27="Anions"),1/2*(BI27*2+BJ27*2+BK27*3/2+BL27*3/2+BM27+BN27*3/2+BO27+BP27+BQ27+BR27+BS27+BT27/2+BU27/2+BV27*5+BW27*2+CA27),
IF(AND(M27="",BC27="Anions"),1/2*(BI27*2+BJ27*2+BK27*3/2+BL27*3/2+BM27+BN27*3/2+BO27+BP27+BQ27+BR27+BS27+BT27/2+BU27/2+BV27*5+BW27*2+CA27),
IF(AND(M27&lt;&gt;"",BC27="mol/kg"),BI27+BJ27+BK27*3/4+BL27*3/4+AU27/55.845*10/2+AV27/55.845*10*3/4+BP27/2+BQ27/2+BR27/2+BS27/2+BT27/4+BU27/4+BV27*5/4+AT27/12*10-AW27/2/32.065*10-AX27/4/32.065*10+AY27/32.065*10*3/2+CA27/2,
IF(AND(M27="",BC27="mol/kg"),BI27+BJ27+BK27*3/4+BL27*3/4+AU27/55.845*10/2+AV27/55.845*10*3/4+BP27/2+BQ27/2+BR27/2+BS27/2+BT27/4+BU27/4+BV27*5/4+AT27/12*10-AW27/2/32.065*10-AX27/4/32.065*10+AY27/32.065*10*3/2+CA27/2,
))))</f>
        <v>17.681621622011516</v>
      </c>
      <c r="CC27" s="12">
        <f t="shared" ref="CC27" si="243">SUM(BI27:BW27,2*CA27)</f>
        <v>34.909159414909048</v>
      </c>
      <c r="CD27" s="12">
        <f t="shared" ref="CD27" si="244">IF(BC27="mol/kg",BY27+BZ27+2*CB27,
BI27*2+BJ27*2+BK27*3/2+BL27*3/2+BM27+BN27*3/2+BO27+BP27+BQ27+BR27+BS27+BT27/2+BU27/2+BV27*5+BW27*2 + BY27+BZ27+CA27- 3*AJ27/12.011*BE27/(H27*2/60.08+I27*2/79.88+J27*3/101.96+K27*3/151.99+L27*3/159.69+M27/71.85+O27/70.94+P27/40.3+Q27/74.69+R27/81.38+S27/56.08+T27/61.98+U27/94.2+V27*5/141.944522+W27*3/80.06+X27/18.9984+Y27/35.453+AI27/44.01*2-AS27/12.011-AW27/32.065-2*AX27/32.065+AY27*3/32.065+AH27/18.01528))</f>
        <v>35.363243244023032</v>
      </c>
      <c r="CE27" s="12"/>
      <c r="CF27" s="67" t="str">
        <f t="shared" si="106"/>
        <v>mol % oxide O2</v>
      </c>
      <c r="CG27" s="81">
        <f t="shared" ref="CG27" si="245">IF((CF27="mol % oxide O2"),H27/60.084*100/(H27/60.084+I27/79.866+J27/101.961+K27/151.99+M27/71.844+2*L27/159.69+O27/70.937+P27/40.304+Q27/74.693+R27/81.38+S27/56.077+T27/61.979+U27/94.196+AH27/18.015+1/2*L27/159.69),
IF((CF27="wt % oxide O2"),H27/60.084*100/(H27/60.084+I27/79.866+J27/101.961+K27/151.99+M27/71.844+2*L27/159.69+O27/70.937+P27/40.304+Q27/74.693+R27/81.38+S27/56.077+T27/61.979+U27/94.196+AH27/18.015+1/2*L27/159.69),
IF((CF27="mol % oxide O"),H27/60.084*100/(H27/60.084+I27/79.866+J27/101.961+K27/151.99+M27/71.844+2*L27/159.69+O27/70.937+P27/40.304+Q27/74.693+R27/81.38+S27/56.077+T27/61.979+U27/94.196+AH27/18.015+L27/159.69),
IF((CF27="mol % oxide Fe2O3"),H27/60.084*100/(H27/60.084+I27/79.866+J27/101.961+K27/151.99+M27/71.844+L27/159.69+O27/70.937+P27/40.304+Q27/74.693+R27/81.38+S27/56.077+T27/61.979+U27/94.196+AH27/18.015),
IF((CF27="mineral oxide O2"),BI27,
IF((CF27=""),"",
))))))</f>
        <v>27.963252117296186</v>
      </c>
      <c r="CH27" s="81">
        <f t="shared" ref="CH27" si="246">IF((CF27="mol % oxide O2"),I27/79.866*100/(H27/60.084+I27/79.866+J27/101.961+K27/151.99+M27/71.844+2*L27/159.69+O27/70.937+P27/40.304+Q27/74.693+R27/81.38+S27/56.077+T27/61.979+U27/94.196+AH27/18.015+1/2*L27/159.69),
IF((CF27="mol % oxide O"),I27/79.866*100/(H27/60.084+I27/79.866+J27/101.961+K27/151.99+M27/71.844+2*L27/159.69+O27/70.937+P27/40.304+Q27/74.693+R27/81.38+S27/56.077+T27/61.979+U27/94.196+AH27/18.015+L27/159.69),
IF((CF27="mol % oxide Fe2O3"),I27/79.866*100/(H27/60.084+I27/79.866+J27/101.961+K27/151.99+M27/71.844+L27/159.69+O27/70.937+P27/40.304+Q27/74.693+R27/81.38+S27/56.077+T27/61.979+U27/94.196+AH27/18.015),
IF((CF27="mineral oxide O2"),BJ27,
IF((CF27=""),"",
)))))</f>
        <v>0</v>
      </c>
      <c r="CI27" s="81">
        <f t="shared" ref="CI27" si="247">IF((CF27="mol % oxide O2"),J27/101.961*100/(H27/60.084+I27/79.866+J27/101.961+K27/151.99+M27/71.844+2*L27/159.69+O27/70.937+P27/40.304+Q27/74.693+R27/81.38+S27/56.077+T27/61.979+U27/94.196+AH27/18.015+1/2*L27/159.69),
IF((CF27="mol % oxide O"),J27/101.961*100/(H27/60.084+I27/79.866+J27/101.961+K27/151.99+M27/71.844+2*L27/159.69+O27/70.937+P27/40.304+Q27/74.693+R27/81.38+S27/56.077+T27/61.979+U27/94.196+AH27/18.015+L27/159.69),
IF((CF27="mol % oxide Fe2O3"),J27/101.961*100/(H27/60.084+I27/79.866+J27/101.961+K27/151.99+M27/71.844+L27/159.69+O27/70.937+P27/40.304+Q27/74.693+R27/81.38+S27/56.077+T27/61.979+U27/94.196+AH27/18.015),
IF((CF27="mineral oxide O2"),BK27/2,
IF((CF27=""),"",
)))))</f>
        <v>1.4332438604838453</v>
      </c>
      <c r="CJ27" s="81">
        <f t="shared" ref="CJ27" si="248">IF((CF27="mol % oxide O2"),K27/151.99*100/(H27/60.084+I27/79.866+J27/101.961+K27/151.99+M27/71.844+2*L27/159.69+O27/70.937+P27/40.304+Q27/74.693+R27/81.38+S27/56.077+T27/61.979+U27/94.196+AH27/18.015+1/2*L27/159.69),
IF((CF27="mol % oxide O"),K27/151.99*100/(H27/60.084+I27/79.866+J27/101.961+K27/151.99+M27/71.844+2*L27/159.69+O27/70.937+P27/40.304+Q27/74.693+R27/81.38+S27/56.077+T27/61.979+U27/94.196+AH27/18.015+L27/159.69),
IF((CF27="mol % oxide Fe2O3"),K27/151.99*100/(H27/60.084+I27/79.866+J27/101.961+K27/151.99+M27/71.844+L27/159.69+O27/70.937+P27/40.304+Q27/74.693+R27/81.38+S27/56.077+T27/61.979+U27/94.196+AH27/18.015),
IF((CF27="mineral oxide O2"),BL27/2,
IF((CF27=""),"",
)))))</f>
        <v>0.11548473716346586</v>
      </c>
      <c r="CK27" s="81">
        <f t="shared" ref="CK27" si="249">IF((CF27="mol % oxide O2"),(M27/71.844+2*L27/159.69)*100/(H27/60.084+I27/79.866+J27/101.961+K27/151.99+M27/71.844+2*L27/159.69+O27/70.937+P27/40.304+Q27/74.693+R27/81.38+S27/56.077+T27/61.979+U27/94.196+AH27/18.015+1/2*L27/159.69),
IF((CF27="mol % oxide O"),(M27/71.844+2*L27/159.69)*100/(H27/60.084+I27/79.866+J27/101.961+K27/151.99+M27/71.844+2*L27/159.69+O27/70.937+P27/40.304+Q27/74.693+R27/81.38+S27/56.077+T27/61.979+U27/94.196+AH27/18.015+L27/159.69),
IF((CF27="mol % oxide Fe2O3"),M27/71.844*100/(H27/60.084+I27/79.866+J27/101.961+K27/151.99+M27/71.844+L27/159.69+O27/70.937+P27/40.304+Q27/74.693+R27/81.38+S27/56.077+T27/61.979+U27/94.196+AH27/18.015),
IF((CF27="mineral oxide O2"),BN27+BM27,
IF((CF27=""),"",
)))))</f>
        <v>3.4936330086441512</v>
      </c>
      <c r="CL27" s="81">
        <f t="shared" ref="CL27" si="250">IF((CF27="mol % oxide O2"),O27/70.937*100/(H27/60.084+I27/79.866+J27/101.961+K27/151.99+M27/71.844+2*L27/159.69+O27/70.937+P27/40.304+Q27/74.693+R27/81.38+S27/56.077+T27/61.979+U27/94.196+AH27/18.015+1/2*L27/159.69),
IF((CF27="mol % oxide O"),O27/70.937*100/(H27/60.084+I27/79.866+J27/101.961+K27/151.99+M27/71.844+2*L27/159.69+O27/70.937+P27/40.304+Q27/74.693+R27/81.38+S27/56.077+T27/61.979+U27/94.196+AH27/18.015+L27/159.69),
IF((CF27="mol % oxide Fe2O3"),O27/70.937*100/(H27/60.084+I27/79.866+J27/101.961+K27/151.99+M27/71.844+L27/159.69+O27/70.937+P27/40.304+Q27/74.693+R27/81.38+S27/56.077+T27/61.979+U27/94.196+AH27/18.015),
IF((CF27="mineral oxide O2"),BO27,
IF((CF27=""),"",
)))))</f>
        <v>0</v>
      </c>
      <c r="CM27" s="81">
        <f t="shared" ref="CM27" si="251">IF((CF27="mol % oxide O2"),P27/40.304*100/(H27/60.084+I27/79.866+J27/101.961+K27/151.99+M27/71.844+2*L27/159.69+O27/70.937+P27/40.304+Q27/74.693+R27/81.38+S27/56.077+T27/61.979+U27/94.196+AH27/18.015+1/2*L27/159.69),
IF((CF27="mol % oxide O"),P27/40.304*100/(H27/60.084+I27/79.866+J27/101.961+K27/151.99+M27/71.844+2*L27/159.69+O27/70.937+P27/40.304+Q27/74.693+R27/81.38+S27/56.077+T27/61.979+U27/94.196+AH27/18.015+L27/159.69),
IF((CF27="mol % oxide Fe2O3"),P27/40.304*100/(H27/60.084+I27/79.866+J27/101.961+K27/151.99+M27/71.844+L27/159.69+O27/70.937+P27/40.304+Q27/74.693+R27/81.38+S27/56.077+T27/61.979+U27/94.196+AH27/18.015),
IF((CF27="mineral oxide O2"),BP27,
IF((CF27=""),"",
)))))</f>
        <v>38.081219220867155</v>
      </c>
      <c r="CN27" s="81">
        <f t="shared" ref="CN27" si="252">IF((CF27="mol % oxide O2"),Q27/74.693*100/(H27/60.084+I27/79.866+J27/101.961+K27/151.99+M27/71.844+2*L27/159.69+O27/70.937+P27/40.304+Q27/74.693+R27/81.38+S27/56.077+T27/61.979+U27/94.196+AH27/18.015+1/2*L27/159.69),
IF((CF27="mol % oxide O"),Q27/74.693*100/(H27/60.084+I27/79.866+J27/101.961+K27/151.99+M27/71.844+2*L27/159.69+O27/70.937+P27/40.304+Q27/74.693+R27/81.38+S27/56.077+T27/61.979+U27/94.196+AH27/18.015+L27/159.69),
IF((CF27="mol % oxide Fe2O3"),Q27/74.693*100/(H27/60.084+I27/79.866+J27/101.961+K27/151.99+M27/71.844+L27/159.69+O27/70.937+P27/40.304+Q27/74.693+R27/81.38+S27/56.077+T27/61.979+U27/94.196+AH27/18.015),
IF((CF27="mineral oxide O2"),BQ27,
IF((CF27=""),"",
)))))</f>
        <v>0</v>
      </c>
      <c r="CO27" s="81">
        <f t="shared" ref="CO27" si="253">IF((CF27="mol % oxide O2"),R27/81.38*100/(H27/60.084+I27/79.866+J27/101.961+K27/151.99+M27/71.844+2*L27/159.69+O27/70.937+P27/40.304+Q27/74.693+R27/81.38+S27/56.077+T27/61.979+U27/94.196+AH27/18.015+1/2*L27/159.69),
IF((CF27="mol % oxide O"),R27/81.38*100/(H27/60.084+I27/79.866+J27/101.961+K27/151.99+M27/71.844+2*L27/159.69+O27/70.937+P27/40.304+Q27/74.693+R27/81.38+S27/56.077+T27/61.979+U27/94.196+AH27/18.015+L27/159.69),
IF((CF27="mol % oxide Fe2O3"),R27/81.38*100/(H27/60.084+I27/79.866+J27/101.961+K27/151.99+M27/71.844+L27/159.69+O27/70.937+P27/40.304+Q27/74.693+R27/81.38+S27/56.077+T27/61.979+U27/94.196+AH27/18.015),
IF((CF27="mineral oxide O2"),BR27,
IF((CF27=""),"",
)))))</f>
        <v>0</v>
      </c>
      <c r="CP27" s="81">
        <f t="shared" ref="CP27" si="254">IF((CF27="mol % oxide O2"),S27/56.077*100/(H27/60.084+I27/79.866+J27/101.961+K27/151.99+M27/71.844+2*L27/159.69+O27/70.937+P27/40.304+Q27/74.693+R27/81.38+S27/56.077+T27/61.979+U27/94.196+AH27/18.015+1/2*L27/159.69),
IF((CF27="mol % oxide O"),S27/56.077*100/(H27/60.084+I27/79.866+J27/101.961+K27/151.99+M27/71.844+2*L27/159.69+O27/70.937+P27/40.304+Q27/74.693+R27/81.38+S27/56.077+T27/61.979+U27/94.196+AH27/18.015+L27/159.69),
IF((CF27="mol % oxide Fe2O3"),S27/56.077*100/(H27/60.084+I27/79.866+J27/101.961+K27/151.99+M27/71.844+L27/159.69+O27/70.937+P27/40.304+Q27/74.693+R27/81.38+S27/56.077+T27/61.979+U27/94.196+AH27/18.015),
IF((CF27="mineral oxide O2"),BS27,
IF((CF27=""),"",
)))))</f>
        <v>0</v>
      </c>
      <c r="CQ27" s="81">
        <f t="shared" ref="CQ27" si="255">IF((CF27="mol % oxide O2"),T27/61.979*100/(H27/60.084+I27/79.866+J27/101.961+K27/151.99+M27/71.844+2*L27/159.69+O27/70.937+P27/40.304+Q27/74.693+R27/81.38+S27/56.077+T27/61.979+U27/94.196+AH27/18.015+1/2*L27/159.69),
IF((CF27="mol % oxide O"),T27/61.979*100/(H27/60.084+I27/79.866+J27/101.961+K27/151.99+M27/71.844+2*L27/159.69+O27/70.937+P27/40.304+Q27/74.693+R27/81.38+S27/56.077+T27/61.979+U27/94.196+AH27/18.015+L27/159.69),
IF((CF27="mol % oxide Fe2O3"),T27/61.979*100/(H27/60.084+I27/79.866+J27/101.961+K27/151.99+M27/71.844+L27/159.69+O27/70.937+P27/40.304+Q27/74.693+R27/81.38+S27/56.077+T27/61.979+U27/94.196+AH27/18.015),
IF((CF27="mineral oxide O2"),BT27/2,
IF((CF27=""),"",
)))))</f>
        <v>0</v>
      </c>
      <c r="CR27" s="81">
        <f t="shared" ref="CR27" si="256">IF((CF27="mol % oxide O2"),U27/94.196*100/(H27/60.084+I27/79.866+J27/101.961+K27/151.99+M27/71.844+2*L27/159.69+O27/70.937+P27/40.304+Q27/74.693+R27/81.38+S27/56.077+T27/61.979+U27/94.196+AH27/18.015+1/2*L27/159.69),
IF((CF27="mol % oxide O"),U27/94.196*100/(H27/60.084+I27/79.866+J27/101.961+K27/151.99+M27/71.844+2*L27/159.69+O27/70.937+P27/40.304+Q27/74.693+R27/81.38+S27/56.077+T27/61.979+U27/94.196+AH27/18.015+L27/159.69),
IF((CF27="mol % oxide Fe2O3"),U27/94.196*100/(H27/60.084+I27/79.866+J27/101.961+K27/151.99+M27/71.844+L27/159.69+O27/70.937+P27/40.304+Q27/74.693+R27/81.38+S27/56.077+T27/61.979+U27/94.196+AH27/18.015),
IF((CF27="mineral oxide O2"),BU27/2,
IF((CF27=""),"",
)))))</f>
        <v>0</v>
      </c>
      <c r="CS27" s="81">
        <f t="shared" ref="CS27" si="257">IF((CF27="mol % oxide O2"),V27/141.943*100/(H27/60.084+I27/79.866+J27/101.961+K27/151.99+M27/71.844+2*L27/159.69+O27/70.937+P27/40.304+Q27/74.693+R27/81.38+S27/56.077+T27/61.979+U27/94.196+AH27/18.015+1/2*L27/159.69),
IF((CF27="mol % oxide O"),V27/141.943*100/(H27/60.084+I27/79.866+J27/101.961+K27/151.99+M27/71.844+2*L27/159.69+O27/70.937+P27/40.304+Q27/74.693+R27/81.38+S27/56.077+T27/61.979+U27/94.196+AH27/18.015+L27/159.69),
IF((CF27="mol % oxide Fe2O3"),V27/141.943*100/(H27/60.084+I27/79.866+J27/101.961+K27/151.99+M27/71.844+L27/159.69+O27/70.937+P27/40.304+Q27/74.693+R27/81.38+S27/56.077+T27/61.979+U27/94.196+AH27/18.015),
IF((CF27="mineral oxide O2"),BV27/2,
IF((CF27=""),"",
)))))</f>
        <v>0</v>
      </c>
      <c r="CT27" s="81">
        <f t="shared" ref="CT27" si="258">IF((CF27="mol % oxide O2"),AI27/44.01*100/(H27/60.084+I27/79.866+J27/101.961+K27/151.99+M27/71.844+2*L27/159.69+O27/70.937+P27/40.304+Q27/74.693+R27/81.38+S27/56.077+T27/61.979+U27/94.196+AH27/18.015+1/2*L27/159.69+AI27/44.01+W27/80.06/2+X27/20/2+Y27/2/35.453),
IF((CF27="mol % oxide O"),AI27/44.01*100/(H27/60.084+I27/79.866+J27/101.961+K27/151.99+M27/71.844+2*L27/159.69+O27/70.937+P27/40.304+Q27/74.693+R27/81.38+S27/56.077+T27/61.979+U27/94.196+AH27/18.015+L27/159.69+AI27/44.01+W27/80.06/2+X27/20/2+Y27/2/35.453),
IF((CF27="mol % oxide Fe2O3"),AI27/44.01*100/(H27/60.084+I27/79.866+J27/101.961+K27/151.99+M27/71.844+L27/159.69+O27/70.937+P27/40.304+Q27/74.693+R27/81.38+S27/56.077+T27/61.979+U27/94.196+AH27/18.015+AI27/44.01+W27/80.06/2+X27/20/2+Y27/2/35.453),
IF((CF27="mineral oxide O2"),BW27,
IF((CF27=""),"",
)))))</f>
        <v>0</v>
      </c>
      <c r="CU27" s="81">
        <f t="shared" ref="CU27" si="259">IF((CF27="mol % oxide O2"),W27/80.06/2*100/(H27/60.084+I27/79.866+J27/101.961+K27/151.99+M27/71.844+2*L27/159.69+O27/70.937+P27/40.304+Q27/74.693+R27/81.38+S27/56.077+T27/61.979+U27/94.196+AH27/18.015+1/2*L27/159.69+AI27/44.01+W27/80.06/2+X27/20/2+Y27/2/35.453),
IF((CF27="mol % oxide O"),W27/80.06/2*100/(H27/60.084+I27/79.866+J27/101.961+K27/151.99+M27/71.844+2*L27/159.69+O27/70.937+P27/40.304+Q27/74.693+R27/81.38+S27/56.077+T27/61.979+U27/94.196+AH27/18.015+L27/159.69+AI27/44.01+W27/80.06/2+X27/20/2+Y27/2/35.453),
IF((CF27="mol % oxide Fe2O3"),W27/80.06/2*100/(H27/60.084+I27/79.866+J27/101.961+K27/151.99+M27/71.844+L27/159.69+O27/70.937+P27/40.304+Q27/74.693+R27/81.38+S27/56.077+T27/61.979+U27/94.196+AH27/18.015+AI27/44.01+W27/80.06/2+X27/20/2+Y27/2/35.453),
IF((CF27="mineral oxide O2"),BW27,
IF((CF27=""),"",
)))))</f>
        <v>0</v>
      </c>
      <c r="CV27" s="81">
        <f t="shared" ref="CV27" si="260">IF((CF27="mol % oxide O2"),X27/2/20*100/(H27/60.084+I27/79.866+J27/101.961+K27/151.99+M27/71.844+2*L27/159.69+O27/70.937+P27/40.304+Q27/74.693+R27/81.38+S27/56.077+T27/61.979+U27/94.196+AH27/18.015+1/2*L27/159.69+AI27/44.01+W27/80.06/2+X27/20/2+Y27/2/35.453),
IF((CF27="mol % oxide O"),X27/2/20*100/(H27/60.084+I27/79.866+J27/101.961+K27/151.99+M27/71.844+2*L27/159.69+O27/70.937+P27/40.304+Q27/74.693+R27/81.38+S27/56.077+T27/61.979+U27/94.196+AH27/18.015+L27/159.69+AI27/44.01+W27/80.06/2+X27/20/2+Y27/2/35.453),
IF((CF27="mol % oxide Fe2O3"),X27/2/20*100/(H27/60.084+I27/79.866+J27/101.961+K27/151.99+M27/71.844+L27/159.69+O27/70.937+P27/40.304+Q27/74.693+R27/81.38+S27/56.077+T27/61.979+U27/94.196+AH27/18.015+AI27/44.01+W27/80.06/2+X27/20/2+Y27/2/35.453),
IF((CF27="mineral oxide O2"),BY27,
IF((CF27=""),"",
)))))</f>
        <v>0</v>
      </c>
      <c r="CW27" s="81">
        <f t="shared" ref="CW27" si="261">IF((CF27="mol % oxide O2"),Y27/2/35.453*100/(H27/60.084+I27/79.866+J27/101.961+K27/151.99+M27/71.844+2*L27/159.69+O27/70.937+P27/40.304+Q27/74.693+R27/81.38+S27/56.077+T27/61.979+U27/94.196+AH27/18.015+1/2*L27/159.69+AI27/44.01+W27/80.06/2+X27/20/2+Y27/2/35.453),
IF((CF27="mol % oxide O"),Y27/2/35.453*100/(H27/60.084+I27/79.866+J27/101.961+K27/151.99+M27/71.844+2*L27/159.69+O27/70.937+P27/40.304+Q27/74.693+R27/81.38+S27/56.077+T27/61.979+U27/94.196+AH27/18.015+L27/159.69+AI27/44.01+W27/80.06/2+X27/20/2+Y27/2/35.453),
IF((CF27="mol % oxide Fe2O3"),Y27/2/35.453*100/(H27/60.084+I27/79.866+J27/101.961+K27/151.99+M27/71.844+L27/159.69+O27/70.937+P27/40.304+Q27/74.693+R27/81.38+S27/56.077+T27/61.979+U27/94.196+AH27/18.015+AI27/44.01+W27/80.06/2+X27/20/2+Y27/2/35.453),
IF((CF27="mineral oxide O2"),BZ27,
IF((CF27=""),"",
)))))</f>
        <v>0</v>
      </c>
      <c r="CX27" s="81">
        <f t="shared" ref="CX27" si="262">IF((CF27="mol % oxide O2"),AH27/18.015*100/(H27/60.084+I27/79.866+J27/101.961+K27/151.99+M27/71.844+2*L27/159.69+O27/70.937+P27/40.304+Q27/74.693+R27/81.38+S27/56.077+T27/61.979+U27/94.196+AH27/18.015+1/2*L27/159.69),
IF((CF27="mol % oxide O"),AH27/18.015*100/(H27/60.084+I27/79.866+J27/101.961+K27/151.99+M27/71.844+2*L27/159.69+O27/70.937+P27/40.304+Q27/74.693+R27/81.38+S27/56.077+T27/61.979+U27/94.196+AH27/18.015+L27/159.69),
IF((CF27="mol % oxide Fe2O3"),AH27/18.015*100/(H27/60.084+I27/79.866+J27/101.961+K27/151.99+M27/71.844+L27/159.69+O27/70.937+P27/40.304+Q27/74.693+R27/81.38+S27/56.077+T27/61.979+U27/94.196+AH27/18.015),
IF((CF27="mineral oxide O2"),CA27,
IF((CF27=""),"",
)))))</f>
        <v>28.551070635587717</v>
      </c>
      <c r="CY27" s="81">
        <f t="shared" ref="CY27" si="263">IF((CF27="mol % oxide O2"),1/2*L27/159.69*100/(H27/60.084+I27/79.866+J27/101.961+K27/151.99+M27/71.844+2*L27/159.69+O27/70.937+P27/40.304+Q27/74.693+R27/81.38+S27/56.077+T27/61.979+U27/94.196+AH27/18.015+1/2*L27/159.69),
IF((CF27="mol % oxide O"),L27/159.69*100/(H27/60.084+I27/79.866+J27/101.961+K27/151.99+M27/71.844+2*L27/159.69+O27/70.937+P27/40.304+Q27/74.693+R27/81.38+S27/56.077+T27/61.979+U27/94.196+AH27/18.015+L27/159.69),
IF((CF27="mol % oxide Fe2O3"),L27/159.69*100/(H27/60.084+I27/79.866+J27/101.961+K27/151.99+M27/71.844+L27/159.69+O27/70.937+P27/40.304+Q27/74.693+R27/81.38+S27/56.077+T27/61.979+U27/94.196+AH27/18.015),
IF((CF27="mineral oxide O2"),BN27*1/4,
IF((CF27=""),"",
)))))</f>
        <v>0.36209641995750258</v>
      </c>
      <c r="CZ27" s="81"/>
      <c r="DA27" s="67" t="s">
        <v>280</v>
      </c>
      <c r="DB27" s="60">
        <f t="shared" ref="DB27" si="264">BI27*2</f>
        <v>15.048885538681372</v>
      </c>
      <c r="DC27" s="60">
        <f t="shared" ref="DC27" si="265">BJ27*2</f>
        <v>0</v>
      </c>
      <c r="DD27" s="67">
        <f t="shared" ref="DD27" si="266">BK27*3/2</f>
        <v>1.1569200715992201</v>
      </c>
      <c r="DE27" s="67">
        <f t="shared" ref="DE27" si="267">BL27*3/2</f>
        <v>9.3218819003290543E-2</v>
      </c>
      <c r="DF27" s="94" t="e">
        <f t="shared" ref="DF27" si="268">BM27+BN27</f>
        <v>#VALUE!</v>
      </c>
      <c r="DG27" s="94">
        <f t="shared" ref="DG27" si="269">BO27</f>
        <v>0</v>
      </c>
      <c r="DH27" s="95">
        <f t="shared" ref="DH27" si="270">BP27</f>
        <v>10.247353070799642</v>
      </c>
      <c r="DI27" s="94">
        <f t="shared" ref="DI27" si="271">BQ27</f>
        <v>0</v>
      </c>
      <c r="DJ27" s="94">
        <f t="shared" ref="DJ27" si="272">BR27</f>
        <v>0</v>
      </c>
      <c r="DK27" s="94">
        <f t="shared" ref="DK27" si="273">BS27</f>
        <v>0</v>
      </c>
      <c r="DL27" s="94">
        <f t="shared" ref="DL27" si="274">BT27</f>
        <v>0</v>
      </c>
      <c r="DM27" s="94">
        <f t="shared" ref="DM27" si="275">BU27</f>
        <v>0</v>
      </c>
      <c r="DN27" s="94">
        <f t="shared" ref="DN27" si="276">BV27*5/2</f>
        <v>0</v>
      </c>
      <c r="DO27" s="94">
        <f t="shared" ref="DO27" si="277">CA27</f>
        <v>7.6819840305277838</v>
      </c>
      <c r="DP27" s="94">
        <f t="shared" ref="DP27" si="278">CB27*2</f>
        <v>35.363243244023032</v>
      </c>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55A25-AC90-BA4B-B278-8752DF1BE9E9}">
  <dimension ref="A1:CZ476"/>
  <sheetViews>
    <sheetView zoomScale="125" zoomScaleNormal="125" zoomScalePageLayoutView="125" workbookViewId="0">
      <pane xSplit="2" ySplit="1" topLeftCell="CD2" activePane="bottomRight" state="frozen"/>
      <selection pane="topRight" activeCell="C1" sqref="C1"/>
      <selection pane="bottomLeft" activeCell="A2" sqref="A2"/>
      <selection pane="bottomRight" activeCell="AL6" sqref="AL6"/>
    </sheetView>
  </sheetViews>
  <sheetFormatPr baseColWidth="10" defaultRowHeight="16" customHeight="1"/>
  <cols>
    <col min="1" max="1" width="5.1640625" style="18" bestFit="1" customWidth="1"/>
    <col min="2" max="2" width="15.33203125" style="17" bestFit="1" customWidth="1"/>
    <col min="3" max="3" width="10.6640625" style="16" bestFit="1" customWidth="1"/>
    <col min="4" max="4" width="4.6640625" style="16" bestFit="1" customWidth="1"/>
    <col min="5" max="7" width="2.33203125" style="16" bestFit="1" customWidth="1"/>
    <col min="8" max="18" width="5.1640625" style="18" customWidth="1"/>
    <col min="19" max="24" width="5.1640625" customWidth="1"/>
    <col min="25" max="25" width="0.83203125" style="55" customWidth="1"/>
    <col min="26" max="41" width="5.1640625" customWidth="1"/>
    <col min="42" max="42" width="0.83203125" style="55" customWidth="1"/>
    <col min="43" max="43" width="1" customWidth="1"/>
    <col min="44" max="44" width="9.33203125" style="26" bestFit="1" customWidth="1"/>
    <col min="45" max="45" width="1.33203125" style="26" customWidth="1"/>
    <col min="46" max="46" width="9.1640625" style="42" bestFit="1" customWidth="1"/>
    <col min="47" max="47" width="6.5" style="19" bestFit="1" customWidth="1"/>
    <col min="48" max="48" width="5" style="19" bestFit="1" customWidth="1"/>
    <col min="49" max="49" width="6.1640625" style="16" bestFit="1" customWidth="1"/>
    <col min="50" max="50" width="6.5" style="16" bestFit="1" customWidth="1"/>
    <col min="51" max="51" width="7.33203125" style="16" bestFit="1" customWidth="1"/>
    <col min="52" max="52" width="6" style="16" customWidth="1"/>
    <col min="53" max="53" width="7.5" style="46" bestFit="1" customWidth="1"/>
    <col min="54" max="54" width="1.1640625" style="16" customWidth="1"/>
    <col min="55" max="55" width="7.33203125" style="38" customWidth="1"/>
    <col min="56" max="56" width="1.1640625" style="16" customWidth="1"/>
    <col min="57" max="57" width="4.33203125" style="52" bestFit="1" customWidth="1"/>
    <col min="58" max="58" width="4.83203125" style="82" bestFit="1" customWidth="1"/>
    <col min="59" max="59" width="8.33203125" style="52" bestFit="1" customWidth="1"/>
    <col min="60" max="60" width="5.6640625" style="52" bestFit="1" customWidth="1"/>
    <col min="61" max="61" width="6.5" style="52" bestFit="1" customWidth="1"/>
    <col min="62" max="62" width="2.5" style="16" customWidth="1"/>
    <col min="63" max="63" width="6.1640625" style="16" bestFit="1" customWidth="1"/>
    <col min="64" max="65" width="5.6640625" style="16" bestFit="1" customWidth="1"/>
    <col min="66" max="66" width="6.83203125" style="16" bestFit="1" customWidth="1"/>
    <col min="67" max="67" width="7.5" style="16" bestFit="1" customWidth="1"/>
    <col min="68" max="70" width="5.6640625" style="16" bestFit="1" customWidth="1"/>
    <col min="71" max="72" width="6" style="16" customWidth="1"/>
    <col min="73" max="73" width="5.6640625" style="16" bestFit="1" customWidth="1"/>
    <col min="74" max="74" width="6.5" style="16" bestFit="1" customWidth="1"/>
    <col min="75" max="75" width="4.83203125" bestFit="1" customWidth="1"/>
    <col min="76" max="76" width="5.1640625" customWidth="1"/>
    <col min="77" max="77" width="5.6640625" bestFit="1" customWidth="1"/>
    <col min="78" max="78" width="5.33203125" bestFit="1" customWidth="1"/>
    <col min="79" max="80" width="5.6640625" bestFit="1" customWidth="1"/>
    <col min="81" max="81" width="0.83203125" style="55" customWidth="1"/>
    <col min="82" max="97" width="5.1640625" customWidth="1"/>
    <col min="98" max="98" width="0.83203125" style="55" customWidth="1"/>
    <col min="101" max="101" width="1.33203125" customWidth="1"/>
    <col min="102" max="102" width="8.33203125" style="16" bestFit="1" customWidth="1"/>
    <col min="103" max="103" width="8.33203125" style="16" customWidth="1"/>
    <col min="104" max="16384" width="10.83203125" style="16"/>
  </cols>
  <sheetData>
    <row r="1" spans="1:104" ht="16" customHeight="1">
      <c r="A1" s="4" t="s">
        <v>0</v>
      </c>
      <c r="B1" s="5" t="s">
        <v>1</v>
      </c>
      <c r="C1" s="14" t="s">
        <v>11</v>
      </c>
      <c r="D1" s="4" t="s">
        <v>12</v>
      </c>
      <c r="E1" s="4" t="s">
        <v>8</v>
      </c>
      <c r="F1" s="4" t="s">
        <v>9</v>
      </c>
      <c r="G1" s="4" t="s">
        <v>10</v>
      </c>
      <c r="H1" s="4" t="s">
        <v>18</v>
      </c>
      <c r="I1" s="4" t="s">
        <v>22</v>
      </c>
      <c r="J1" s="4" t="s">
        <v>19</v>
      </c>
      <c r="K1" s="4" t="s">
        <v>23</v>
      </c>
      <c r="L1" s="4" t="s">
        <v>265</v>
      </c>
      <c r="M1" s="4" t="s">
        <v>20</v>
      </c>
      <c r="N1" s="4" t="s">
        <v>17</v>
      </c>
      <c r="O1" s="4" t="s">
        <v>24</v>
      </c>
      <c r="P1" s="4" t="s">
        <v>109</v>
      </c>
      <c r="Q1" s="4" t="s">
        <v>21</v>
      </c>
      <c r="R1" s="4" t="s">
        <v>16</v>
      </c>
      <c r="S1" s="4" t="s">
        <v>67</v>
      </c>
      <c r="T1" s="4" t="s">
        <v>119</v>
      </c>
      <c r="U1" s="39" t="s">
        <v>105</v>
      </c>
      <c r="V1" s="4" t="s">
        <v>65</v>
      </c>
      <c r="W1" s="39" t="s">
        <v>66</v>
      </c>
      <c r="X1" s="4" t="s">
        <v>14</v>
      </c>
      <c r="Y1" s="53"/>
      <c r="Z1" s="4" t="s">
        <v>110</v>
      </c>
      <c r="AA1" s="4" t="s">
        <v>111</v>
      </c>
      <c r="AB1" s="4" t="s">
        <v>121</v>
      </c>
      <c r="AC1" s="4" t="s">
        <v>122</v>
      </c>
      <c r="AD1" s="4" t="s">
        <v>123</v>
      </c>
      <c r="AE1" s="4" t="s">
        <v>124</v>
      </c>
      <c r="AF1" s="4" t="s">
        <v>126</v>
      </c>
      <c r="AG1" s="4" t="s">
        <v>120</v>
      </c>
      <c r="AH1" s="4" t="s">
        <v>127</v>
      </c>
      <c r="AI1" s="4" t="s">
        <v>9</v>
      </c>
      <c r="AJ1" s="4" t="s">
        <v>125</v>
      </c>
      <c r="AK1" s="4" t="s">
        <v>128</v>
      </c>
      <c r="AL1" s="4" t="s">
        <v>129</v>
      </c>
      <c r="AM1" s="4" t="s">
        <v>338</v>
      </c>
      <c r="AN1" s="4" t="s">
        <v>340</v>
      </c>
      <c r="AO1" s="4" t="s">
        <v>339</v>
      </c>
      <c r="AP1" s="53"/>
      <c r="AQ1" s="4"/>
      <c r="AR1" s="22" t="s">
        <v>98</v>
      </c>
      <c r="AS1" s="22"/>
      <c r="AT1" s="40" t="s">
        <v>175</v>
      </c>
      <c r="AU1" s="28" t="s">
        <v>264</v>
      </c>
      <c r="AV1" s="28" t="s">
        <v>263</v>
      </c>
      <c r="AW1" s="39" t="s">
        <v>106</v>
      </c>
      <c r="AX1" s="39" t="s">
        <v>29</v>
      </c>
      <c r="AY1" s="4" t="s">
        <v>7</v>
      </c>
      <c r="AZ1" s="4"/>
      <c r="BA1" s="44" t="s">
        <v>13</v>
      </c>
      <c r="BB1" s="4"/>
      <c r="BC1" s="43" t="s">
        <v>95</v>
      </c>
      <c r="BD1" s="4"/>
      <c r="BE1" s="4" t="s">
        <v>262</v>
      </c>
      <c r="BF1" s="22" t="s">
        <v>261</v>
      </c>
      <c r="BG1" s="4" t="s">
        <v>260</v>
      </c>
      <c r="BH1" s="49" t="s">
        <v>106</v>
      </c>
      <c r="BI1" s="49" t="s">
        <v>29</v>
      </c>
      <c r="BJ1" s="7"/>
      <c r="BK1" s="6" t="s">
        <v>18</v>
      </c>
      <c r="BL1" s="6" t="s">
        <v>22</v>
      </c>
      <c r="BM1" s="6" t="s">
        <v>19</v>
      </c>
      <c r="BN1" s="6" t="s">
        <v>23</v>
      </c>
      <c r="BO1" s="6" t="s">
        <v>49</v>
      </c>
      <c r="BP1" s="6" t="s">
        <v>50</v>
      </c>
      <c r="BQ1" s="6" t="s">
        <v>20</v>
      </c>
      <c r="BR1" s="6" t="s">
        <v>17</v>
      </c>
      <c r="BS1" s="6" t="s">
        <v>24</v>
      </c>
      <c r="BT1" s="4" t="s">
        <v>109</v>
      </c>
      <c r="BU1" s="6" t="s">
        <v>21</v>
      </c>
      <c r="BV1" s="6" t="s">
        <v>16</v>
      </c>
      <c r="BW1" s="6" t="s">
        <v>67</v>
      </c>
      <c r="BX1" s="4" t="s">
        <v>119</v>
      </c>
      <c r="BY1" s="6" t="s">
        <v>105</v>
      </c>
      <c r="BZ1" s="6" t="s">
        <v>65</v>
      </c>
      <c r="CA1" s="6" t="s">
        <v>66</v>
      </c>
      <c r="CB1" s="6" t="s">
        <v>14</v>
      </c>
      <c r="CC1" s="53"/>
      <c r="CD1" s="4" t="s">
        <v>110</v>
      </c>
      <c r="CE1" s="4" t="s">
        <v>111</v>
      </c>
      <c r="CF1" s="4" t="s">
        <v>121</v>
      </c>
      <c r="CG1" s="4" t="s">
        <v>122</v>
      </c>
      <c r="CH1" s="4" t="s">
        <v>123</v>
      </c>
      <c r="CI1" s="4" t="s">
        <v>124</v>
      </c>
      <c r="CJ1" s="4" t="s">
        <v>126</v>
      </c>
      <c r="CK1" s="4" t="s">
        <v>120</v>
      </c>
      <c r="CL1" s="4" t="s">
        <v>127</v>
      </c>
      <c r="CM1" s="4" t="s">
        <v>9</v>
      </c>
      <c r="CN1" s="4" t="s">
        <v>125</v>
      </c>
      <c r="CO1" s="4" t="s">
        <v>128</v>
      </c>
      <c r="CP1" s="4" t="s">
        <v>129</v>
      </c>
      <c r="CQ1" s="4" t="s">
        <v>338</v>
      </c>
      <c r="CR1" s="4" t="s">
        <v>340</v>
      </c>
      <c r="CS1" s="4" t="s">
        <v>339</v>
      </c>
      <c r="CT1" s="53"/>
      <c r="CV1" s="66" t="s">
        <v>7</v>
      </c>
      <c r="CX1" s="7" t="s">
        <v>97</v>
      </c>
      <c r="CY1" s="7" t="s">
        <v>96</v>
      </c>
      <c r="CZ1" s="8"/>
    </row>
    <row r="2" spans="1:104">
      <c r="A2" s="4">
        <v>1</v>
      </c>
      <c r="B2" s="5" t="s">
        <v>41</v>
      </c>
      <c r="C2" s="15" t="s">
        <v>259</v>
      </c>
      <c r="D2" s="15"/>
      <c r="E2" s="89"/>
      <c r="F2" s="89"/>
      <c r="G2" s="89"/>
      <c r="H2" s="9">
        <v>0</v>
      </c>
      <c r="I2" s="9">
        <v>0</v>
      </c>
      <c r="J2" s="9">
        <v>0</v>
      </c>
      <c r="K2" s="9">
        <v>0</v>
      </c>
      <c r="L2" s="9">
        <v>0</v>
      </c>
      <c r="M2" s="9">
        <v>0</v>
      </c>
      <c r="N2" s="9">
        <v>0</v>
      </c>
      <c r="O2" s="9">
        <v>73.3</v>
      </c>
      <c r="P2" s="9"/>
      <c r="Q2" s="9">
        <v>0</v>
      </c>
      <c r="R2" s="9">
        <v>0</v>
      </c>
      <c r="S2" s="9">
        <v>0</v>
      </c>
      <c r="T2" s="9"/>
      <c r="U2" s="9">
        <v>26.7</v>
      </c>
      <c r="V2" s="9">
        <v>0</v>
      </c>
      <c r="W2" s="9">
        <v>0</v>
      </c>
      <c r="X2" s="9">
        <v>0</v>
      </c>
      <c r="Y2" s="54"/>
      <c r="Z2" s="9"/>
      <c r="AA2" s="9"/>
      <c r="AB2" s="9"/>
      <c r="AC2" s="9"/>
      <c r="AD2" s="9"/>
      <c r="AE2" s="9"/>
      <c r="AF2" s="9"/>
      <c r="AG2" s="9"/>
      <c r="AH2" s="9"/>
      <c r="AI2" s="9"/>
      <c r="AJ2" s="9"/>
      <c r="AK2" s="9"/>
      <c r="AL2" s="9"/>
      <c r="AM2" s="9"/>
      <c r="AN2" s="9"/>
      <c r="AO2" s="9"/>
      <c r="AP2" s="54"/>
      <c r="AQ2" s="9"/>
      <c r="AR2" s="25">
        <f t="shared" ref="AR2:AR9" si="0">SUM(H2:AP2)</f>
        <v>100</v>
      </c>
      <c r="AS2" s="24"/>
      <c r="AT2" s="41">
        <f t="shared" ref="AT2:AT7" si="1">IF(BA3="Mag",2/3,IF(BA3="Ep",1,0))</f>
        <v>0</v>
      </c>
      <c r="AU2" s="21">
        <f>159.69*(L2/71.85)*(AT2)/2</f>
        <v>0</v>
      </c>
      <c r="AV2" s="21">
        <f>71.85*(L2/71.85)*(1-AT2)</f>
        <v>0</v>
      </c>
      <c r="AW2" s="20">
        <f t="shared" ref="AW2:AW9" si="2">BH2*BF2/BG2</f>
        <v>0</v>
      </c>
      <c r="AX2" s="20">
        <f t="shared" ref="AX2:AX9" si="3">BI2*12.011*BF2/BG2</f>
        <v>0</v>
      </c>
      <c r="AY2" s="85">
        <f t="shared" ref="AY2:AY9" si="4">SUM(H2:AP2)+AW2+AX2</f>
        <v>100</v>
      </c>
      <c r="AZ2" s="85"/>
      <c r="BB2" s="89"/>
      <c r="BC2" s="106" t="s">
        <v>341</v>
      </c>
      <c r="BD2" s="89"/>
      <c r="BE2" s="50" t="s">
        <v>105</v>
      </c>
      <c r="BF2" s="83">
        <f t="shared" ref="BF2:BF9" si="5">IF(BE2="O",X2/15.999,
IF(BE2="S",U2/32.065,
IF(BE2="F",V2/18.998403
)))</f>
        <v>0.83268361141431468</v>
      </c>
      <c r="BG2" s="50">
        <v>2</v>
      </c>
      <c r="BH2" s="50">
        <f t="shared" ref="BH2:BH9" si="6">IF(BA2="Amph",2-BZ2-CA2,
IF(BA2="Mica",2-BZ2-CA2,
IF(BA2="Ti-Chu",2-BZ2-2*BL2-CA2,
IF(BA2="Ti-Cho",2-BZ2-2*BL2-CA2,
IF(BA2="F-Ph",2-BZ2-CA2,
IF(BA2="Pl",0,
IF(BA2="Dol",0,
IF(BA2="Cb",0,
IF(BA2="Br",2,
IF(BA2="Bal",40,
IF(BA2="Liz",4,
IF(BA2="Ep",1,
IF(BA2="Chum",2-BZ2-CA2,
IF(BA2="Ol",0,
IF(BA2="Opx",0,
IF(BA2="Tlc",2,
IF(BA2="Tr",2,
IF(BA2="Atg",3.647,
IF(BA2="Chl",16,
IF(BA2="Cpx",0,
IF(BA2="Grt",0,
IF(BA2="Fluorite",0,
IF(BA2="Py",0,
IF(BA2="Mag",0,
IF(BA2="Gp",4,
0)))))))))))))))))))))))))</f>
        <v>0</v>
      </c>
      <c r="BI2" s="50">
        <f>IF(BA3="Dol",2,
IF(BA3="Cb",1,
0))</f>
        <v>0</v>
      </c>
      <c r="BJ2" s="12"/>
      <c r="BK2" s="11">
        <f t="shared" ref="BK2:BK9" si="7">IF(BC2="%",H2/28.0855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IF(BC2="no",H2/28.0855,
IF(BC2="yes",H2/28.0855*BG2/BF2
)))</f>
        <v>0</v>
      </c>
      <c r="BL2" s="11">
        <f t="shared" ref="BL2:BL9" si="8">IF(BC2="%",I2/47.867*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IF(BC2="no",I2/47.867,
IF(BC2="yes",I2/47.867*BG2/BF2
)))</f>
        <v>0</v>
      </c>
      <c r="BM2" s="11">
        <f t="shared" ref="BM2:BM9" si="9">IF(BC2="%",J2/26.981539*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IF(BC2="no",J2/26.981539,
IF(BC2="yes",J2/26.981539*BG2/BF2
)))</f>
        <v>0</v>
      </c>
      <c r="BN2" s="11">
        <f t="shared" ref="BN2:BN9" si="10">IF(BC2="%",K2/51.9961*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IF(BC2="no",K2/51.9961,
IF(BC2="yes",K2/51.9961*BG2/BF2
)))</f>
        <v>0</v>
      </c>
      <c r="BO2" s="11">
        <f t="shared" ref="BO2:BO9" si="11">IF(BC2="%",AV2/55.845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IF(BC2="no",AV2/55.845,
IF(BC2="yes",AV2/55.845*BG2/BF2
)))</f>
        <v>0</v>
      </c>
      <c r="BP2" s="11">
        <f t="shared" ref="BP2:BP9" si="12">IF(BC2="%",AU2/55.845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IF(BC2="no",AU2/55.845,
IF(BC2="yes",AU2/55.845*BG2/BF2
)))</f>
        <v>0</v>
      </c>
      <c r="BQ2" s="11">
        <f t="shared" ref="BQ2:BQ9" si="13">IF(BC2="%",M2/54.938044*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IF(BC2="no",M2/54.938044,
IF(BC2="yes",M2/54.938044*BG2/BF2
)))</f>
        <v>0</v>
      </c>
      <c r="BR2" s="11">
        <f t="shared" ref="BR2:BR9" si="14">IF(BC2="%",N2/24.305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IF(BC2="no",N2/24.305,
IF(BC2="yes",N2/24.305*BG2/BF2
)))</f>
        <v>0</v>
      </c>
      <c r="BS2" s="11">
        <f t="shared" ref="BS2:BS9" si="15">IF(BC2="%",O2/58.6934*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IF(BC2="no",O2/58.6934,
IF(BC2="yes",O2/58.6934*BG2/BF2
)))</f>
        <v>59.996873805258204</v>
      </c>
      <c r="BT2" s="11">
        <f t="shared" ref="BT2:BT9" si="16">IF(BC2="%",P2/65.38*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IF(BC2="no",P2/65.38,
IF(BC2="yes",P2/65.38*BG2/BF2
)))</f>
        <v>0</v>
      </c>
      <c r="BU2" s="11">
        <f t="shared" ref="BU2:BU9" si="17">IF(BC2="%",Q2/40.078*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IF(BC2="no",Q2/40.078,
IF(BC2="yes",Q2/40.078*BG2/BF2
)))</f>
        <v>0</v>
      </c>
      <c r="BV2" s="11">
        <f t="shared" ref="BV2:BV9" si="18">IF(BC2="%",R2/22.989769*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IF(BC2="no",R2/22.989769,
IF(BC2="yes",R2/22.989769*BG2/BF2
)))</f>
        <v>0</v>
      </c>
      <c r="BW2" s="11">
        <f t="shared" ref="BW2:BW9" si="19">IF(BC2="%",S2/39.0983*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IF(BC2="no",S2/39.0983,
IF(BC2="yes",S2/39.0983*BG2/BF2
)))</f>
        <v>0</v>
      </c>
      <c r="BX2" s="56">
        <f t="shared" ref="BX2:BX9" si="20">IF(BC2="%",T2/39.0983*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IF(BC2="no",T2/39.0983,
IF(BC2="yes",T2/39.0983*BG2/BF2
)))</f>
        <v>0</v>
      </c>
      <c r="BY2" s="11">
        <f t="shared" ref="BY2:BY9" si="21">IF(BC2="%",U2/32.065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IF(BC2="no",U2/32.065,
IF(BC2="yes",U2/32.065*BG2/BF2
)))</f>
        <v>40.003126194741789</v>
      </c>
      <c r="BZ2" s="34">
        <f t="shared" ref="BZ2:BZ9" si="22">IF(BC2="%",V2/18.9984*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IF(BC2="no",V2/18.9984,
IF(BC2="yes",V2/18.9984*BG2/BF2
)))</f>
        <v>0</v>
      </c>
      <c r="CA2" s="11">
        <f t="shared" ref="CA2:CA9" si="23">IF(BC2="%",W2/35.453*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IF(BC2="no",W2/35.453,
IF(BC2="yes",W2/35.453*BG2/BF2
)))</f>
        <v>0</v>
      </c>
      <c r="CB2" s="11">
        <f t="shared" ref="CB2:CB9" si="24">IF(BC2="%",X2/15.999*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IF(BC2="no",X2/15.999,
IF(BC2="yes",X2/15.999*BG2/BF2
)))</f>
        <v>0</v>
      </c>
      <c r="CC2" s="54"/>
      <c r="CD2" s="56">
        <f t="shared" ref="CD2:CD9" si="25">IF(BC2="%",Z2/58.933195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IF(BC2="no",Z2/58.933195,
IF(BC2="yes",Z2/58.933195*BG2/BF2
)))</f>
        <v>0</v>
      </c>
      <c r="CE2" s="56">
        <f t="shared" ref="CE2:CE9" si="26">IF(BC2="%",AA2/63.546*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IF(BC2="no",AA2/63.546,
IF(BC2="yes",AA2/63.546*BG2/BF2
)))</f>
        <v>0</v>
      </c>
      <c r="CF2" s="56">
        <f t="shared" ref="CF2:CF9" si="27">IF(BC2="%",AB2/9.012182*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IF(BC2="no",AB2/9.012182,
IF(BC2="yes",AB2/9.012182*BG2/BF2
)))</f>
        <v>0</v>
      </c>
      <c r="CG2" s="56">
        <f t="shared" ref="CG2:CG9" si="28">IF(BC2="%",AC2/137.327*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IF(BC2="no",AC2/137.327,
IF(BC2="yes",AC2/137.327*BG2/BF2
)))</f>
        <v>0</v>
      </c>
      <c r="CH2" s="56">
        <f t="shared" ref="CH2:CH9" si="29">IF(BC2="%",AD2/87.62*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IF(BC2="no",AD2/87.62,
IF(BC2="yes",AD2/87.62*BG2/BF2
)))</f>
        <v>0</v>
      </c>
      <c r="CI2" s="56">
        <f t="shared" ref="CI2:CI9" si="30">IF(BC2="%",AE2/207.2*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IF(BC2="no",AE2/207.2,
IF(BC2="yes",AE2/207.2*BG2/BF2
)))</f>
        <v>0</v>
      </c>
      <c r="CJ2" s="56">
        <f t="shared" ref="CJ2:CJ9" si="31">IF(BC2="%",AF2/50.9415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IF(BC2="no",AF2/50.9415,
IF(BC2="yes",AF2/50.9415*BG2/BF2
)))</f>
        <v>0</v>
      </c>
      <c r="CK2" s="56">
        <f t="shared" ref="CK2:CK9" si="32">IF(BC2="%",AG2/118.71*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IF(BC2="no",AG2/118.71,
IF(BC2="yes",AG2/118.71*BG2/BF2
)))</f>
        <v>0</v>
      </c>
      <c r="CL2" s="56">
        <f t="shared" ref="CL2:CL9" si="33">IF(BC2="%",AH2/91.224*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IF(BC2="no",AH2/91.224,
IF(BC2="yes",AH2/91.224*BG2/BF2
)))</f>
        <v>0</v>
      </c>
      <c r="CM2" s="56">
        <f t="shared" ref="CM2:CM9" si="34">IF(BC2="%",AI2/88.90585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IF(BC2="no",AI2/88.90585,
IF(BC2="yes",AI2/88.90585*BG2/BF2
)))</f>
        <v>0</v>
      </c>
      <c r="CN2" s="56">
        <f t="shared" ref="CN2:CN9" si="35">IF(BC2="%",AJ2/95.95*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IF(BC2="no",AJ2/95.95,
IF(BC2="yes",AJ2/95.95*BG2/BF2
)))</f>
        <v>0</v>
      </c>
      <c r="CO2" s="56">
        <f t="shared" ref="CO2:CO9" si="36">IF(BC2="%",AK2/183.84*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IF(BC2="no",AK2/183.84,
IF(BC2="yes",AK2/183.84*BG2/BF2
)))</f>
        <v>0</v>
      </c>
      <c r="CP2" s="56">
        <f t="shared" ref="CP2:CP9" si="37">IF(BC2="%",AL2/74.9216*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IF(BC2="no",AL2/74.9216,
IF(BC2="yes",AL2/74.9216*BG2/BF2
)))</f>
        <v>0</v>
      </c>
      <c r="CQ2" s="56">
        <f t="shared" ref="CQ2:CQ9" si="38">IF(BC2="%",AM2/78.96*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IF(BC2="no",AM2/78.96,
IF(BC2="yes",AM2/78.96*BG2/BF2
)))</f>
        <v>0</v>
      </c>
      <c r="CR2" s="56">
        <f t="shared" ref="CR2:CR9" si="39">IF(BC2="%",AN2/121.76*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IF(BC2="no",AN2/121.76,
IF(BC2="yes",AN2/121.76*BG2/BF2
)))</f>
        <v>0</v>
      </c>
      <c r="CS2" s="56">
        <f t="shared" ref="CS2:CS9" si="40">IF(BC2="%",AO2/127.6*100/(H2/28.0855+I2/47.867+J2/26.981539+K2/51.9961+AV2/55.845+AU2/55.845+M2/54.938044+N2/24.305+O2/58.6934+P2/65.38+Q2/40.078+R2/22.989769+S2/39.0983+T2/30.973762+Z2/58.933195+AA2/63.546+AB2/9.012182+AC2/137.327+AD2/87.62+AE2/207.2+AF2/50.9415+AG2/118.71+AH2/91.224+AI2/88.90585+AJ2/95.95+AK2/183.84+AL2/74.9216+AM2/78.96+AN2/121.76+AO2/127.6+V2/18.9984+W2/35.453+X2/15.999+U2/32.065),
IF(BC2="no",AO2/127.6,
IF(BC2="yes",AO2/127.6*BG2/BF2
)))</f>
        <v>0</v>
      </c>
      <c r="CT2" s="54"/>
      <c r="CV2" s="107">
        <f t="shared" ref="CV2:CV9" si="41">IF(BC2="%",SUM(BK2:CS2),"")</f>
        <v>100</v>
      </c>
      <c r="CX2" s="12">
        <f>SUM(BK2:BX2,CD2:CS2)</f>
        <v>59.996873805258204</v>
      </c>
      <c r="CY2" s="12">
        <f t="shared" ref="CY2:CY9" si="42">BZ2+CA2+CB2+BY2</f>
        <v>40.003126194741789</v>
      </c>
      <c r="CZ2" s="13"/>
    </row>
    <row r="3" spans="1:104" ht="16" customHeight="1">
      <c r="A3" s="4">
        <v>2</v>
      </c>
      <c r="B3" s="5" t="s">
        <v>41</v>
      </c>
      <c r="C3" s="15" t="s">
        <v>55</v>
      </c>
      <c r="D3" s="15"/>
      <c r="E3" s="89"/>
      <c r="F3" s="89"/>
      <c r="G3" s="89"/>
      <c r="H3" s="9">
        <v>18.32</v>
      </c>
      <c r="I3" s="9">
        <v>0</v>
      </c>
      <c r="J3" s="9">
        <v>0</v>
      </c>
      <c r="K3" s="9">
        <v>0</v>
      </c>
      <c r="L3" s="9">
        <v>14.57</v>
      </c>
      <c r="M3" s="9">
        <v>0</v>
      </c>
      <c r="N3" s="9">
        <v>25.37</v>
      </c>
      <c r="O3" s="9">
        <v>0</v>
      </c>
      <c r="P3" s="9"/>
      <c r="Q3" s="9">
        <v>0</v>
      </c>
      <c r="R3" s="9">
        <v>0</v>
      </c>
      <c r="S3" s="9">
        <v>0</v>
      </c>
      <c r="T3" s="9"/>
      <c r="U3" s="9">
        <v>0</v>
      </c>
      <c r="V3" s="9">
        <v>0</v>
      </c>
      <c r="W3" s="9">
        <v>0</v>
      </c>
      <c r="X3" s="9">
        <v>41.74</v>
      </c>
      <c r="Y3" s="54"/>
      <c r="Z3" s="9"/>
      <c r="AA3" s="9"/>
      <c r="AB3" s="9"/>
      <c r="AC3" s="9"/>
      <c r="AD3" s="9"/>
      <c r="AE3" s="9"/>
      <c r="AF3" s="9"/>
      <c r="AG3" s="9"/>
      <c r="AH3" s="9"/>
      <c r="AI3" s="9"/>
      <c r="AJ3" s="9"/>
      <c r="AK3" s="9"/>
      <c r="AL3" s="9"/>
      <c r="AM3" s="9"/>
      <c r="AN3" s="9"/>
      <c r="AO3" s="9"/>
      <c r="AP3" s="54"/>
      <c r="AQ3" s="9"/>
      <c r="AR3" s="25">
        <f t="shared" si="0"/>
        <v>100</v>
      </c>
      <c r="AS3" s="24"/>
      <c r="AT3" s="41">
        <f t="shared" si="1"/>
        <v>0</v>
      </c>
      <c r="AU3" s="21">
        <f t="shared" ref="AU3:AU9" si="43">L3*AT3</f>
        <v>0</v>
      </c>
      <c r="AV3" s="21">
        <f t="shared" ref="AV3:AV9" si="44">L3*(1-AT3)</f>
        <v>14.57</v>
      </c>
      <c r="AW3" s="20">
        <f t="shared" si="2"/>
        <v>0</v>
      </c>
      <c r="AX3" s="20">
        <f t="shared" si="3"/>
        <v>0</v>
      </c>
      <c r="AY3" s="85">
        <f t="shared" si="4"/>
        <v>100</v>
      </c>
      <c r="AZ3" s="85"/>
      <c r="BA3" s="45" t="s">
        <v>26</v>
      </c>
      <c r="BB3" s="89"/>
      <c r="BC3" s="90" t="s">
        <v>189</v>
      </c>
      <c r="BD3" s="89"/>
      <c r="BE3" s="50" t="s">
        <v>14</v>
      </c>
      <c r="BF3" s="83">
        <f t="shared" si="5"/>
        <v>2.6089130570660668</v>
      </c>
      <c r="BG3" s="50">
        <v>4</v>
      </c>
      <c r="BH3" s="50">
        <f t="shared" si="6"/>
        <v>0</v>
      </c>
      <c r="BI3" s="50">
        <f t="shared" ref="BI3:BI9" si="45">IF(BA3="Dol",2,
IF(BA3="Cb",1,
0))</f>
        <v>0</v>
      </c>
      <c r="BJ3" s="12"/>
      <c r="BK3" s="11">
        <f t="shared" si="7"/>
        <v>1.0001006151410969</v>
      </c>
      <c r="BL3" s="11">
        <f t="shared" si="8"/>
        <v>0</v>
      </c>
      <c r="BM3" s="11">
        <f t="shared" si="9"/>
        <v>0</v>
      </c>
      <c r="BN3" s="11">
        <f t="shared" si="10"/>
        <v>0</v>
      </c>
      <c r="BO3" s="11">
        <f t="shared" si="11"/>
        <v>0.40001441459807535</v>
      </c>
      <c r="BP3" s="11">
        <f t="shared" si="12"/>
        <v>0</v>
      </c>
      <c r="BQ3" s="11">
        <f t="shared" si="13"/>
        <v>0</v>
      </c>
      <c r="BR3" s="11">
        <f t="shared" si="14"/>
        <v>1.6003877807849793</v>
      </c>
      <c r="BS3" s="11">
        <f t="shared" si="15"/>
        <v>0</v>
      </c>
      <c r="BT3" s="11">
        <f t="shared" si="16"/>
        <v>0</v>
      </c>
      <c r="BU3" s="11">
        <f t="shared" si="17"/>
        <v>0</v>
      </c>
      <c r="BV3" s="11">
        <f t="shared" si="18"/>
        <v>0</v>
      </c>
      <c r="BW3" s="11">
        <f t="shared" si="19"/>
        <v>0</v>
      </c>
      <c r="BX3" s="56">
        <f t="shared" si="20"/>
        <v>0</v>
      </c>
      <c r="BY3" s="11">
        <f t="shared" si="21"/>
        <v>0</v>
      </c>
      <c r="BZ3" s="34">
        <f t="shared" si="22"/>
        <v>0</v>
      </c>
      <c r="CA3" s="11">
        <f t="shared" si="23"/>
        <v>0</v>
      </c>
      <c r="CB3" s="11">
        <f t="shared" si="24"/>
        <v>4</v>
      </c>
      <c r="CC3" s="54"/>
      <c r="CD3" s="56">
        <f t="shared" si="25"/>
        <v>0</v>
      </c>
      <c r="CE3" s="56">
        <f t="shared" si="26"/>
        <v>0</v>
      </c>
      <c r="CF3" s="56">
        <f t="shared" si="27"/>
        <v>0</v>
      </c>
      <c r="CG3" s="56">
        <f t="shared" si="28"/>
        <v>0</v>
      </c>
      <c r="CH3" s="56">
        <f t="shared" si="29"/>
        <v>0</v>
      </c>
      <c r="CI3" s="56">
        <f t="shared" si="30"/>
        <v>0</v>
      </c>
      <c r="CJ3" s="56">
        <f t="shared" si="31"/>
        <v>0</v>
      </c>
      <c r="CK3" s="56">
        <f t="shared" si="32"/>
        <v>0</v>
      </c>
      <c r="CL3" s="56">
        <f t="shared" si="33"/>
        <v>0</v>
      </c>
      <c r="CM3" s="56">
        <f t="shared" si="34"/>
        <v>0</v>
      </c>
      <c r="CN3" s="56">
        <f t="shared" si="35"/>
        <v>0</v>
      </c>
      <c r="CO3" s="56">
        <f t="shared" si="36"/>
        <v>0</v>
      </c>
      <c r="CP3" s="56">
        <f t="shared" si="37"/>
        <v>0</v>
      </c>
      <c r="CQ3" s="56">
        <f t="shared" si="38"/>
        <v>0</v>
      </c>
      <c r="CR3" s="56">
        <f t="shared" si="39"/>
        <v>0</v>
      </c>
      <c r="CS3" s="56">
        <f t="shared" si="40"/>
        <v>0</v>
      </c>
      <c r="CT3" s="54"/>
      <c r="CV3" s="107" t="str">
        <f t="shared" si="41"/>
        <v/>
      </c>
      <c r="CX3" s="12">
        <f>SUM(BK3:BW3)</f>
        <v>3.0005028105241518</v>
      </c>
      <c r="CY3" s="12">
        <f t="shared" si="42"/>
        <v>4</v>
      </c>
      <c r="CZ3" s="13"/>
    </row>
    <row r="4" spans="1:104" ht="16" customHeight="1">
      <c r="A4" s="4">
        <v>3</v>
      </c>
      <c r="B4" s="5" t="s">
        <v>41</v>
      </c>
      <c r="C4" s="15" t="s">
        <v>58</v>
      </c>
      <c r="D4" s="15"/>
      <c r="H4" s="9">
        <v>29.62</v>
      </c>
      <c r="I4" s="9">
        <v>0</v>
      </c>
      <c r="J4" s="9">
        <v>0</v>
      </c>
      <c r="K4" s="9">
        <v>0</v>
      </c>
      <c r="L4" s="9">
        <v>0</v>
      </c>
      <c r="M4" s="9">
        <v>0</v>
      </c>
      <c r="N4" s="9">
        <v>19.23</v>
      </c>
      <c r="O4" s="9">
        <v>0</v>
      </c>
      <c r="P4" s="9"/>
      <c r="Q4" s="9">
        <v>0</v>
      </c>
      <c r="R4" s="9">
        <v>0</v>
      </c>
      <c r="S4" s="9">
        <v>0</v>
      </c>
      <c r="T4" s="9"/>
      <c r="U4" s="9">
        <v>0</v>
      </c>
      <c r="V4" s="9">
        <v>0</v>
      </c>
      <c r="W4" s="9">
        <v>0</v>
      </c>
      <c r="X4" s="9">
        <v>50.62</v>
      </c>
      <c r="Y4" s="54"/>
      <c r="Z4" s="9"/>
      <c r="AA4" s="9"/>
      <c r="AB4" s="9"/>
      <c r="AC4" s="9"/>
      <c r="AD4" s="9"/>
      <c r="AE4" s="9"/>
      <c r="AF4" s="9"/>
      <c r="AG4" s="9"/>
      <c r="AH4" s="9"/>
      <c r="AI4" s="9"/>
      <c r="AJ4" s="9"/>
      <c r="AK4" s="9"/>
      <c r="AL4" s="9"/>
      <c r="AM4" s="9"/>
      <c r="AN4" s="9"/>
      <c r="AO4" s="9"/>
      <c r="AP4" s="54"/>
      <c r="AQ4" s="9"/>
      <c r="AR4" s="25">
        <f t="shared" si="0"/>
        <v>99.47</v>
      </c>
      <c r="AS4" s="24"/>
      <c r="AT4" s="41">
        <f t="shared" si="1"/>
        <v>0</v>
      </c>
      <c r="AU4" s="21">
        <f t="shared" si="43"/>
        <v>0</v>
      </c>
      <c r="AV4" s="21">
        <f t="shared" si="44"/>
        <v>0</v>
      </c>
      <c r="AW4" s="20">
        <f t="shared" si="2"/>
        <v>0.52732462445569517</v>
      </c>
      <c r="AX4" s="20">
        <f t="shared" si="3"/>
        <v>0</v>
      </c>
      <c r="AY4" s="85">
        <f t="shared" si="4"/>
        <v>99.9973246244557</v>
      </c>
      <c r="AZ4" s="85"/>
      <c r="BA4" s="45" t="s">
        <v>27</v>
      </c>
      <c r="BB4" s="89"/>
      <c r="BC4" s="90" t="s">
        <v>189</v>
      </c>
      <c r="BD4" s="89"/>
      <c r="BE4" s="50" t="s">
        <v>14</v>
      </c>
      <c r="BF4" s="83">
        <f t="shared" si="5"/>
        <v>3.1639477467341708</v>
      </c>
      <c r="BG4" s="50">
        <v>12</v>
      </c>
      <c r="BH4" s="50">
        <f t="shared" si="6"/>
        <v>2</v>
      </c>
      <c r="BI4" s="50">
        <f t="shared" si="45"/>
        <v>0</v>
      </c>
      <c r="BJ4" s="12"/>
      <c r="BK4" s="11">
        <f t="shared" si="7"/>
        <v>3.999952535296404</v>
      </c>
      <c r="BL4" s="11">
        <f t="shared" si="8"/>
        <v>0</v>
      </c>
      <c r="BM4" s="11">
        <f t="shared" si="9"/>
        <v>0</v>
      </c>
      <c r="BN4" s="11">
        <f t="shared" si="10"/>
        <v>0</v>
      </c>
      <c r="BO4" s="11">
        <f t="shared" si="11"/>
        <v>0</v>
      </c>
      <c r="BP4" s="11">
        <f t="shared" si="12"/>
        <v>0</v>
      </c>
      <c r="BQ4" s="11">
        <f t="shared" si="13"/>
        <v>0</v>
      </c>
      <c r="BR4" s="11">
        <f t="shared" si="14"/>
        <v>3.0007899901740944</v>
      </c>
      <c r="BS4" s="11">
        <f t="shared" si="15"/>
        <v>0</v>
      </c>
      <c r="BT4" s="11">
        <f t="shared" si="16"/>
        <v>0</v>
      </c>
      <c r="BU4" s="11">
        <f t="shared" si="17"/>
        <v>0</v>
      </c>
      <c r="BV4" s="11">
        <f t="shared" si="18"/>
        <v>0</v>
      </c>
      <c r="BW4" s="11">
        <f t="shared" si="19"/>
        <v>0</v>
      </c>
      <c r="BX4" s="56">
        <f t="shared" si="20"/>
        <v>0</v>
      </c>
      <c r="BY4" s="11">
        <f t="shared" si="21"/>
        <v>0</v>
      </c>
      <c r="BZ4" s="34">
        <f t="shared" si="22"/>
        <v>0</v>
      </c>
      <c r="CA4" s="11">
        <f t="shared" si="23"/>
        <v>0</v>
      </c>
      <c r="CB4" s="11">
        <f t="shared" si="24"/>
        <v>12.000000000000002</v>
      </c>
      <c r="CC4" s="54"/>
      <c r="CD4" s="56">
        <f t="shared" si="25"/>
        <v>0</v>
      </c>
      <c r="CE4" s="56">
        <f t="shared" si="26"/>
        <v>0</v>
      </c>
      <c r="CF4" s="56">
        <f t="shared" si="27"/>
        <v>0</v>
      </c>
      <c r="CG4" s="56">
        <f t="shared" si="28"/>
        <v>0</v>
      </c>
      <c r="CH4" s="56">
        <f t="shared" si="29"/>
        <v>0</v>
      </c>
      <c r="CI4" s="56">
        <f t="shared" si="30"/>
        <v>0</v>
      </c>
      <c r="CJ4" s="56">
        <f t="shared" si="31"/>
        <v>0</v>
      </c>
      <c r="CK4" s="56">
        <f t="shared" si="32"/>
        <v>0</v>
      </c>
      <c r="CL4" s="56">
        <f t="shared" si="33"/>
        <v>0</v>
      </c>
      <c r="CM4" s="56">
        <f t="shared" si="34"/>
        <v>0</v>
      </c>
      <c r="CN4" s="56">
        <f t="shared" si="35"/>
        <v>0</v>
      </c>
      <c r="CO4" s="56">
        <f t="shared" si="36"/>
        <v>0</v>
      </c>
      <c r="CP4" s="56">
        <f t="shared" si="37"/>
        <v>0</v>
      </c>
      <c r="CQ4" s="56">
        <f t="shared" si="38"/>
        <v>0</v>
      </c>
      <c r="CR4" s="56">
        <f t="shared" si="39"/>
        <v>0</v>
      </c>
      <c r="CS4" s="56">
        <f t="shared" si="40"/>
        <v>0</v>
      </c>
      <c r="CT4" s="54"/>
      <c r="CV4" s="107" t="str">
        <f t="shared" si="41"/>
        <v/>
      </c>
      <c r="CX4" s="12">
        <f>SUM(BK4:BW4)</f>
        <v>7.000742525470498</v>
      </c>
      <c r="CY4" s="12">
        <f t="shared" si="42"/>
        <v>12.000000000000002</v>
      </c>
      <c r="CZ4" s="13"/>
    </row>
    <row r="5" spans="1:104" ht="16" customHeight="1">
      <c r="A5" s="4">
        <v>4</v>
      </c>
      <c r="B5" s="5" t="s">
        <v>41</v>
      </c>
      <c r="C5" s="15" t="s">
        <v>258</v>
      </c>
      <c r="D5" s="15"/>
      <c r="H5" s="9">
        <v>0</v>
      </c>
      <c r="I5" s="9">
        <v>0</v>
      </c>
      <c r="J5" s="9">
        <v>0</v>
      </c>
      <c r="K5" s="9">
        <v>0</v>
      </c>
      <c r="L5" s="9">
        <v>0</v>
      </c>
      <c r="M5" s="9">
        <v>0</v>
      </c>
      <c r="N5" s="9">
        <v>28.83</v>
      </c>
      <c r="O5" s="9">
        <v>0</v>
      </c>
      <c r="P5" s="9"/>
      <c r="Q5" s="9">
        <v>0</v>
      </c>
      <c r="R5" s="9">
        <v>0</v>
      </c>
      <c r="S5" s="9">
        <v>0</v>
      </c>
      <c r="T5" s="9"/>
      <c r="U5" s="9">
        <v>0</v>
      </c>
      <c r="V5" s="9">
        <v>0</v>
      </c>
      <c r="W5" s="9">
        <v>0</v>
      </c>
      <c r="X5" s="9">
        <v>56.93</v>
      </c>
      <c r="Y5" s="54"/>
      <c r="Z5" s="9"/>
      <c r="AA5" s="9"/>
      <c r="AB5" s="9"/>
      <c r="AC5" s="9"/>
      <c r="AD5" s="9"/>
      <c r="AE5" s="9"/>
      <c r="AF5" s="9"/>
      <c r="AG5" s="9"/>
      <c r="AH5" s="9"/>
      <c r="AI5" s="9"/>
      <c r="AJ5" s="9"/>
      <c r="AK5" s="9"/>
      <c r="AL5" s="9"/>
      <c r="AM5" s="9"/>
      <c r="AN5" s="9"/>
      <c r="AO5" s="9"/>
      <c r="AP5" s="54"/>
      <c r="AQ5" s="9"/>
      <c r="AR5" s="25">
        <f t="shared" si="0"/>
        <v>85.759999999999991</v>
      </c>
      <c r="AS5" s="24"/>
      <c r="AT5" s="41">
        <f t="shared" si="1"/>
        <v>0</v>
      </c>
      <c r="AU5" s="21">
        <f t="shared" si="43"/>
        <v>0</v>
      </c>
      <c r="AV5" s="21">
        <f t="shared" si="44"/>
        <v>0</v>
      </c>
      <c r="AW5" s="20">
        <f t="shared" si="2"/>
        <v>0</v>
      </c>
      <c r="AX5" s="20">
        <f t="shared" si="3"/>
        <v>14.246436860637123</v>
      </c>
      <c r="AY5" s="85">
        <f t="shared" si="4"/>
        <v>100.00643686063711</v>
      </c>
      <c r="AZ5" s="85"/>
      <c r="BA5" s="45" t="s">
        <v>39</v>
      </c>
      <c r="BB5" s="89"/>
      <c r="BC5" s="90" t="s">
        <v>189</v>
      </c>
      <c r="BD5" s="89"/>
      <c r="BE5" s="50" t="s">
        <v>14</v>
      </c>
      <c r="BF5" s="83">
        <f t="shared" si="5"/>
        <v>3.5583473967122945</v>
      </c>
      <c r="BG5" s="50">
        <v>3</v>
      </c>
      <c r="BH5" s="50">
        <f t="shared" si="6"/>
        <v>0</v>
      </c>
      <c r="BI5" s="50">
        <f t="shared" si="45"/>
        <v>1</v>
      </c>
      <c r="BJ5" s="12"/>
      <c r="BK5" s="11">
        <f t="shared" si="7"/>
        <v>0</v>
      </c>
      <c r="BL5" s="11">
        <f t="shared" si="8"/>
        <v>0</v>
      </c>
      <c r="BM5" s="11">
        <f t="shared" si="9"/>
        <v>0</v>
      </c>
      <c r="BN5" s="11">
        <f t="shared" si="10"/>
        <v>0</v>
      </c>
      <c r="BO5" s="11">
        <f t="shared" si="11"/>
        <v>0</v>
      </c>
      <c r="BP5" s="11">
        <f t="shared" si="12"/>
        <v>0</v>
      </c>
      <c r="BQ5" s="11">
        <f t="shared" si="13"/>
        <v>0</v>
      </c>
      <c r="BR5" s="11">
        <f t="shared" si="14"/>
        <v>1.0000504884190833</v>
      </c>
      <c r="BS5" s="11">
        <f t="shared" si="15"/>
        <v>0</v>
      </c>
      <c r="BT5" s="11">
        <f t="shared" si="16"/>
        <v>0</v>
      </c>
      <c r="BU5" s="11">
        <f t="shared" si="17"/>
        <v>0</v>
      </c>
      <c r="BV5" s="11">
        <f t="shared" si="18"/>
        <v>0</v>
      </c>
      <c r="BW5" s="11">
        <f t="shared" si="19"/>
        <v>0</v>
      </c>
      <c r="BX5" s="56">
        <f t="shared" si="20"/>
        <v>0</v>
      </c>
      <c r="BY5" s="11">
        <f t="shared" si="21"/>
        <v>0</v>
      </c>
      <c r="BZ5" s="34">
        <f t="shared" si="22"/>
        <v>0</v>
      </c>
      <c r="CA5" s="11">
        <f t="shared" si="23"/>
        <v>0</v>
      </c>
      <c r="CB5" s="11">
        <f t="shared" si="24"/>
        <v>3</v>
      </c>
      <c r="CC5" s="54"/>
      <c r="CD5" s="56">
        <f t="shared" si="25"/>
        <v>0</v>
      </c>
      <c r="CE5" s="56">
        <f t="shared" si="26"/>
        <v>0</v>
      </c>
      <c r="CF5" s="56">
        <f t="shared" si="27"/>
        <v>0</v>
      </c>
      <c r="CG5" s="56">
        <f t="shared" si="28"/>
        <v>0</v>
      </c>
      <c r="CH5" s="56">
        <f t="shared" si="29"/>
        <v>0</v>
      </c>
      <c r="CI5" s="56">
        <f t="shared" si="30"/>
        <v>0</v>
      </c>
      <c r="CJ5" s="56">
        <f t="shared" si="31"/>
        <v>0</v>
      </c>
      <c r="CK5" s="56">
        <f t="shared" si="32"/>
        <v>0</v>
      </c>
      <c r="CL5" s="56">
        <f t="shared" si="33"/>
        <v>0</v>
      </c>
      <c r="CM5" s="56">
        <f t="shared" si="34"/>
        <v>0</v>
      </c>
      <c r="CN5" s="56">
        <f t="shared" si="35"/>
        <v>0</v>
      </c>
      <c r="CO5" s="56">
        <f t="shared" si="36"/>
        <v>0</v>
      </c>
      <c r="CP5" s="56">
        <f t="shared" si="37"/>
        <v>0</v>
      </c>
      <c r="CQ5" s="56">
        <f t="shared" si="38"/>
        <v>0</v>
      </c>
      <c r="CR5" s="56">
        <f t="shared" si="39"/>
        <v>0</v>
      </c>
      <c r="CS5" s="56">
        <f t="shared" si="40"/>
        <v>0</v>
      </c>
      <c r="CT5" s="54"/>
      <c r="CV5" s="107" t="str">
        <f t="shared" si="41"/>
        <v/>
      </c>
      <c r="CX5" s="12">
        <f>SUM(BK5:BW5)</f>
        <v>1.0000504884190833</v>
      </c>
      <c r="CY5" s="12">
        <f t="shared" si="42"/>
        <v>3</v>
      </c>
      <c r="CZ5" s="13"/>
    </row>
    <row r="6" spans="1:104" ht="16" customHeight="1">
      <c r="A6" s="4">
        <v>5</v>
      </c>
      <c r="B6" s="5" t="s">
        <v>41</v>
      </c>
      <c r="C6" s="15" t="s">
        <v>258</v>
      </c>
      <c r="D6" s="15"/>
      <c r="H6" s="9">
        <v>0</v>
      </c>
      <c r="I6" s="9">
        <v>0</v>
      </c>
      <c r="J6" s="9">
        <v>0</v>
      </c>
      <c r="K6" s="9">
        <v>0</v>
      </c>
      <c r="L6" s="9">
        <v>0</v>
      </c>
      <c r="M6" s="9">
        <v>0</v>
      </c>
      <c r="N6" s="9">
        <v>13.18</v>
      </c>
      <c r="O6" s="9">
        <v>0</v>
      </c>
      <c r="P6" s="9"/>
      <c r="Q6" s="9">
        <v>21.73</v>
      </c>
      <c r="R6" s="9">
        <v>0</v>
      </c>
      <c r="S6" s="9">
        <v>0</v>
      </c>
      <c r="T6" s="9"/>
      <c r="U6" s="9">
        <v>0</v>
      </c>
      <c r="V6" s="9">
        <v>0</v>
      </c>
      <c r="W6" s="9">
        <v>0</v>
      </c>
      <c r="X6" s="9">
        <v>52.06</v>
      </c>
      <c r="Y6" s="54"/>
      <c r="Z6" s="9"/>
      <c r="AA6" s="9"/>
      <c r="AB6" s="9"/>
      <c r="AC6" s="9"/>
      <c r="AD6" s="9"/>
      <c r="AE6" s="9"/>
      <c r="AF6" s="9"/>
      <c r="AG6" s="9"/>
      <c r="AH6" s="9"/>
      <c r="AI6" s="9"/>
      <c r="AJ6" s="9"/>
      <c r="AK6" s="9"/>
      <c r="AL6" s="9"/>
      <c r="AM6" s="9"/>
      <c r="AN6" s="9"/>
      <c r="AO6" s="9"/>
      <c r="AP6" s="54"/>
      <c r="AQ6" s="9"/>
      <c r="AR6" s="25">
        <f t="shared" si="0"/>
        <v>86.97</v>
      </c>
      <c r="AS6" s="24"/>
      <c r="AT6" s="41">
        <f t="shared" si="1"/>
        <v>0</v>
      </c>
      <c r="AU6" s="21">
        <f t="shared" si="43"/>
        <v>0</v>
      </c>
      <c r="AV6" s="21">
        <f t="shared" si="44"/>
        <v>0</v>
      </c>
      <c r="AW6" s="20">
        <f t="shared" si="2"/>
        <v>0</v>
      </c>
      <c r="AX6" s="20">
        <f t="shared" si="3"/>
        <v>13.027744650707334</v>
      </c>
      <c r="AY6" s="85">
        <f t="shared" si="4"/>
        <v>99.997744650707332</v>
      </c>
      <c r="AZ6" s="85"/>
      <c r="BA6" s="45" t="s">
        <v>40</v>
      </c>
      <c r="BB6" s="89"/>
      <c r="BC6" s="90" t="s">
        <v>189</v>
      </c>
      <c r="BD6" s="89"/>
      <c r="BE6" s="50" t="s">
        <v>14</v>
      </c>
      <c r="BF6" s="83">
        <f t="shared" si="5"/>
        <v>3.2539533720857552</v>
      </c>
      <c r="BG6" s="50">
        <v>6</v>
      </c>
      <c r="BH6" s="50">
        <f t="shared" si="6"/>
        <v>0</v>
      </c>
      <c r="BI6" s="50">
        <f t="shared" si="45"/>
        <v>2</v>
      </c>
      <c r="BJ6" s="12"/>
      <c r="BK6" s="11">
        <f t="shared" si="7"/>
        <v>0</v>
      </c>
      <c r="BL6" s="11">
        <f t="shared" si="8"/>
        <v>0</v>
      </c>
      <c r="BM6" s="11">
        <f t="shared" si="9"/>
        <v>0</v>
      </c>
      <c r="BN6" s="11">
        <f t="shared" si="10"/>
        <v>0</v>
      </c>
      <c r="BO6" s="11">
        <f t="shared" si="11"/>
        <v>0</v>
      </c>
      <c r="BP6" s="11">
        <f t="shared" si="12"/>
        <v>0</v>
      </c>
      <c r="BQ6" s="11">
        <f t="shared" si="13"/>
        <v>0</v>
      </c>
      <c r="BR6" s="11">
        <f t="shared" si="14"/>
        <v>0.99990723282829308</v>
      </c>
      <c r="BS6" s="11">
        <f t="shared" si="15"/>
        <v>0</v>
      </c>
      <c r="BT6" s="11">
        <f t="shared" si="16"/>
        <v>0</v>
      </c>
      <c r="BU6" s="11">
        <f t="shared" si="17"/>
        <v>0.99975505888757032</v>
      </c>
      <c r="BV6" s="11">
        <f t="shared" si="18"/>
        <v>0</v>
      </c>
      <c r="BW6" s="11">
        <f t="shared" si="19"/>
        <v>0</v>
      </c>
      <c r="BX6" s="56">
        <f t="shared" si="20"/>
        <v>0</v>
      </c>
      <c r="BY6" s="11">
        <f t="shared" si="21"/>
        <v>0</v>
      </c>
      <c r="BZ6" s="34">
        <f t="shared" si="22"/>
        <v>0</v>
      </c>
      <c r="CA6" s="11">
        <f t="shared" si="23"/>
        <v>0</v>
      </c>
      <c r="CB6" s="11">
        <f t="shared" si="24"/>
        <v>6</v>
      </c>
      <c r="CC6" s="54"/>
      <c r="CD6" s="56">
        <f t="shared" si="25"/>
        <v>0</v>
      </c>
      <c r="CE6" s="56">
        <f t="shared" si="26"/>
        <v>0</v>
      </c>
      <c r="CF6" s="56">
        <f t="shared" si="27"/>
        <v>0</v>
      </c>
      <c r="CG6" s="56">
        <f t="shared" si="28"/>
        <v>0</v>
      </c>
      <c r="CH6" s="56">
        <f t="shared" si="29"/>
        <v>0</v>
      </c>
      <c r="CI6" s="56">
        <f t="shared" si="30"/>
        <v>0</v>
      </c>
      <c r="CJ6" s="56">
        <f t="shared" si="31"/>
        <v>0</v>
      </c>
      <c r="CK6" s="56">
        <f t="shared" si="32"/>
        <v>0</v>
      </c>
      <c r="CL6" s="56">
        <f t="shared" si="33"/>
        <v>0</v>
      </c>
      <c r="CM6" s="56">
        <f t="shared" si="34"/>
        <v>0</v>
      </c>
      <c r="CN6" s="56">
        <f t="shared" si="35"/>
        <v>0</v>
      </c>
      <c r="CO6" s="56">
        <f t="shared" si="36"/>
        <v>0</v>
      </c>
      <c r="CP6" s="56">
        <f t="shared" si="37"/>
        <v>0</v>
      </c>
      <c r="CQ6" s="56">
        <f t="shared" si="38"/>
        <v>0</v>
      </c>
      <c r="CR6" s="56">
        <f t="shared" si="39"/>
        <v>0</v>
      </c>
      <c r="CS6" s="56">
        <f t="shared" si="40"/>
        <v>0</v>
      </c>
      <c r="CT6" s="54"/>
      <c r="CV6" s="107" t="str">
        <f t="shared" si="41"/>
        <v/>
      </c>
      <c r="CX6" s="12">
        <f>SUM(BK6:BX6,CD6:CP6)</f>
        <v>1.9996622917158633</v>
      </c>
      <c r="CY6" s="12">
        <f t="shared" si="42"/>
        <v>6</v>
      </c>
      <c r="CZ6" s="13"/>
    </row>
    <row r="7" spans="1:104" ht="16" customHeight="1">
      <c r="A7" s="4">
        <v>6</v>
      </c>
      <c r="B7" s="5" t="s">
        <v>41</v>
      </c>
      <c r="C7" s="15" t="s">
        <v>257</v>
      </c>
      <c r="D7" s="15"/>
      <c r="H7" s="9">
        <v>0</v>
      </c>
      <c r="I7" s="9">
        <v>0</v>
      </c>
      <c r="J7" s="9">
        <v>0</v>
      </c>
      <c r="K7" s="9">
        <v>0</v>
      </c>
      <c r="L7" s="9">
        <v>46.55</v>
      </c>
      <c r="M7" s="9">
        <v>0</v>
      </c>
      <c r="N7" s="9">
        <v>0</v>
      </c>
      <c r="O7" s="9">
        <v>0</v>
      </c>
      <c r="P7" s="9"/>
      <c r="Q7" s="9">
        <v>0</v>
      </c>
      <c r="R7" s="9">
        <v>0</v>
      </c>
      <c r="S7" s="9">
        <v>0</v>
      </c>
      <c r="T7" s="9"/>
      <c r="U7" s="9">
        <v>53.45</v>
      </c>
      <c r="V7" s="9">
        <v>0</v>
      </c>
      <c r="W7" s="9">
        <v>0</v>
      </c>
      <c r="X7" s="9">
        <v>0</v>
      </c>
      <c r="Y7" s="54"/>
      <c r="Z7" s="9"/>
      <c r="AA7" s="9"/>
      <c r="AB7" s="9"/>
      <c r="AC7" s="9"/>
      <c r="AD7" s="9"/>
      <c r="AE7" s="9"/>
      <c r="AF7" s="9"/>
      <c r="AG7" s="9"/>
      <c r="AH7" s="9"/>
      <c r="AI7" s="9"/>
      <c r="AJ7" s="9"/>
      <c r="AK7" s="9"/>
      <c r="AL7" s="9"/>
      <c r="AM7" s="9"/>
      <c r="AN7" s="9"/>
      <c r="AO7" s="9"/>
      <c r="AP7" s="54"/>
      <c r="AQ7" s="9"/>
      <c r="AR7" s="25">
        <f t="shared" si="0"/>
        <v>100</v>
      </c>
      <c r="AS7" s="24"/>
      <c r="AT7" s="41">
        <f t="shared" si="1"/>
        <v>0</v>
      </c>
      <c r="AU7" s="21">
        <f t="shared" si="43"/>
        <v>0</v>
      </c>
      <c r="AV7" s="21">
        <f t="shared" si="44"/>
        <v>46.55</v>
      </c>
      <c r="AW7" s="20">
        <f t="shared" si="2"/>
        <v>0</v>
      </c>
      <c r="AX7" s="20">
        <f t="shared" si="3"/>
        <v>0</v>
      </c>
      <c r="AY7" s="85">
        <f t="shared" si="4"/>
        <v>100</v>
      </c>
      <c r="AZ7" s="85"/>
      <c r="BA7" s="45" t="s">
        <v>256</v>
      </c>
      <c r="BB7" s="89"/>
      <c r="BC7" s="90" t="s">
        <v>189</v>
      </c>
      <c r="BD7" s="89"/>
      <c r="BE7" s="50" t="s">
        <v>105</v>
      </c>
      <c r="BF7" s="83">
        <f t="shared" si="5"/>
        <v>1.6669265554342743</v>
      </c>
      <c r="BG7" s="50">
        <v>2</v>
      </c>
      <c r="BH7" s="50">
        <f t="shared" si="6"/>
        <v>0</v>
      </c>
      <c r="BI7" s="50">
        <f t="shared" si="45"/>
        <v>0</v>
      </c>
      <c r="BJ7" s="12"/>
      <c r="BK7" s="11">
        <f t="shared" si="7"/>
        <v>0</v>
      </c>
      <c r="BL7" s="11">
        <f t="shared" si="8"/>
        <v>0</v>
      </c>
      <c r="BM7" s="11">
        <f t="shared" si="9"/>
        <v>0</v>
      </c>
      <c r="BN7" s="11">
        <f t="shared" si="10"/>
        <v>0</v>
      </c>
      <c r="BO7" s="11">
        <f t="shared" si="11"/>
        <v>1.0001126497645116</v>
      </c>
      <c r="BP7" s="11">
        <f t="shared" si="12"/>
        <v>0</v>
      </c>
      <c r="BQ7" s="11">
        <f t="shared" si="13"/>
        <v>0</v>
      </c>
      <c r="BR7" s="11">
        <f t="shared" si="14"/>
        <v>0</v>
      </c>
      <c r="BS7" s="11">
        <f t="shared" si="15"/>
        <v>0</v>
      </c>
      <c r="BT7" s="11">
        <f t="shared" si="16"/>
        <v>0</v>
      </c>
      <c r="BU7" s="11">
        <f t="shared" si="17"/>
        <v>0</v>
      </c>
      <c r="BV7" s="11">
        <f t="shared" si="18"/>
        <v>0</v>
      </c>
      <c r="BW7" s="11">
        <f t="shared" si="19"/>
        <v>0</v>
      </c>
      <c r="BX7" s="56">
        <f t="shared" si="20"/>
        <v>0</v>
      </c>
      <c r="BY7" s="11">
        <f t="shared" si="21"/>
        <v>2</v>
      </c>
      <c r="BZ7" s="34">
        <f t="shared" si="22"/>
        <v>0</v>
      </c>
      <c r="CA7" s="11">
        <f t="shared" si="23"/>
        <v>0</v>
      </c>
      <c r="CB7" s="11">
        <f t="shared" si="24"/>
        <v>0</v>
      </c>
      <c r="CC7" s="54"/>
      <c r="CD7" s="56">
        <f t="shared" si="25"/>
        <v>0</v>
      </c>
      <c r="CE7" s="56">
        <f t="shared" si="26"/>
        <v>0</v>
      </c>
      <c r="CF7" s="56">
        <f t="shared" si="27"/>
        <v>0</v>
      </c>
      <c r="CG7" s="56">
        <f t="shared" si="28"/>
        <v>0</v>
      </c>
      <c r="CH7" s="56">
        <f t="shared" si="29"/>
        <v>0</v>
      </c>
      <c r="CI7" s="56">
        <f t="shared" si="30"/>
        <v>0</v>
      </c>
      <c r="CJ7" s="56">
        <f t="shared" si="31"/>
        <v>0</v>
      </c>
      <c r="CK7" s="56">
        <f t="shared" si="32"/>
        <v>0</v>
      </c>
      <c r="CL7" s="56">
        <f t="shared" si="33"/>
        <v>0</v>
      </c>
      <c r="CM7" s="56">
        <f t="shared" si="34"/>
        <v>0</v>
      </c>
      <c r="CN7" s="56">
        <f t="shared" si="35"/>
        <v>0</v>
      </c>
      <c r="CO7" s="56">
        <f t="shared" si="36"/>
        <v>0</v>
      </c>
      <c r="CP7" s="56">
        <f t="shared" si="37"/>
        <v>0</v>
      </c>
      <c r="CQ7" s="56">
        <f t="shared" si="38"/>
        <v>0</v>
      </c>
      <c r="CR7" s="56">
        <f t="shared" si="39"/>
        <v>0</v>
      </c>
      <c r="CS7" s="56">
        <f t="shared" si="40"/>
        <v>0</v>
      </c>
      <c r="CT7" s="54"/>
      <c r="CV7" s="107" t="str">
        <f t="shared" si="41"/>
        <v/>
      </c>
      <c r="CX7" s="12">
        <f>SUM(BK7:BX7,CD7:CP7)</f>
        <v>1.0001126497645116</v>
      </c>
      <c r="CY7" s="12">
        <f t="shared" si="42"/>
        <v>2</v>
      </c>
      <c r="CZ7" s="13"/>
    </row>
    <row r="8" spans="1:104" ht="16" customHeight="1">
      <c r="A8" s="4">
        <v>7</v>
      </c>
      <c r="B8" s="5" t="s">
        <v>41</v>
      </c>
      <c r="C8" s="15" t="s">
        <v>255</v>
      </c>
      <c r="D8" s="15"/>
      <c r="H8" s="9">
        <v>0</v>
      </c>
      <c r="I8" s="9">
        <v>0</v>
      </c>
      <c r="J8" s="9">
        <v>0</v>
      </c>
      <c r="K8" s="9">
        <v>0</v>
      </c>
      <c r="L8" s="9">
        <v>0</v>
      </c>
      <c r="M8" s="9">
        <v>0</v>
      </c>
      <c r="N8" s="9">
        <v>0</v>
      </c>
      <c r="O8" s="9">
        <v>0</v>
      </c>
      <c r="P8" s="9"/>
      <c r="Q8" s="9">
        <v>51.33</v>
      </c>
      <c r="R8" s="9">
        <v>0</v>
      </c>
      <c r="S8" s="9">
        <v>0</v>
      </c>
      <c r="T8" s="9"/>
      <c r="U8" s="9">
        <v>0</v>
      </c>
      <c r="V8" s="9">
        <v>48.67</v>
      </c>
      <c r="W8" s="9">
        <v>0</v>
      </c>
      <c r="X8" s="9">
        <v>0</v>
      </c>
      <c r="Y8" s="54"/>
      <c r="Z8" s="9"/>
      <c r="AA8" s="9"/>
      <c r="AB8" s="9"/>
      <c r="AC8" s="9"/>
      <c r="AD8" s="9"/>
      <c r="AE8" s="9"/>
      <c r="AF8" s="9"/>
      <c r="AG8" s="9"/>
      <c r="AH8" s="9"/>
      <c r="AI8" s="9"/>
      <c r="AJ8" s="9"/>
      <c r="AK8" s="9"/>
      <c r="AL8" s="9"/>
      <c r="AM8" s="9"/>
      <c r="AN8" s="9"/>
      <c r="AO8" s="9"/>
      <c r="AP8" s="54"/>
      <c r="AQ8" s="9"/>
      <c r="AR8" s="25">
        <f t="shared" si="0"/>
        <v>100</v>
      </c>
      <c r="AS8" s="24"/>
      <c r="AT8" s="41">
        <f>IF(BA8="Mag",2/3,IF(BA8="Ep",1,0))</f>
        <v>0</v>
      </c>
      <c r="AU8" s="21">
        <f t="shared" si="43"/>
        <v>0</v>
      </c>
      <c r="AV8" s="21">
        <f t="shared" si="44"/>
        <v>0</v>
      </c>
      <c r="AW8" s="20">
        <f t="shared" si="2"/>
        <v>0</v>
      </c>
      <c r="AX8" s="20">
        <f t="shared" si="3"/>
        <v>0</v>
      </c>
      <c r="AY8" s="85">
        <f t="shared" si="4"/>
        <v>100</v>
      </c>
      <c r="AZ8" s="85"/>
      <c r="BA8" s="45" t="s">
        <v>107</v>
      </c>
      <c r="BC8" s="90" t="s">
        <v>189</v>
      </c>
      <c r="BE8" s="50" t="s">
        <v>65</v>
      </c>
      <c r="BF8" s="83">
        <f t="shared" si="5"/>
        <v>2.561794272918624</v>
      </c>
      <c r="BG8" s="50">
        <v>2</v>
      </c>
      <c r="BH8" s="50">
        <f t="shared" si="6"/>
        <v>0</v>
      </c>
      <c r="BI8" s="50">
        <f t="shared" si="45"/>
        <v>0</v>
      </c>
      <c r="BJ8" s="12"/>
      <c r="BK8" s="11">
        <f t="shared" si="7"/>
        <v>0</v>
      </c>
      <c r="BL8" s="11">
        <f t="shared" si="8"/>
        <v>0</v>
      </c>
      <c r="BM8" s="11">
        <f t="shared" si="9"/>
        <v>0</v>
      </c>
      <c r="BN8" s="11">
        <f t="shared" si="10"/>
        <v>0</v>
      </c>
      <c r="BO8" s="11">
        <f t="shared" si="11"/>
        <v>0</v>
      </c>
      <c r="BP8" s="11">
        <f t="shared" si="12"/>
        <v>0</v>
      </c>
      <c r="BQ8" s="11">
        <f t="shared" si="13"/>
        <v>0</v>
      </c>
      <c r="BR8" s="11">
        <f t="shared" si="14"/>
        <v>0</v>
      </c>
      <c r="BS8" s="11">
        <f t="shared" si="15"/>
        <v>0</v>
      </c>
      <c r="BT8" s="11">
        <f t="shared" si="16"/>
        <v>0</v>
      </c>
      <c r="BU8" s="11">
        <f t="shared" si="17"/>
        <v>0.99988710732994002</v>
      </c>
      <c r="BV8" s="11">
        <f t="shared" si="18"/>
        <v>0</v>
      </c>
      <c r="BW8" s="11">
        <f t="shared" si="19"/>
        <v>0</v>
      </c>
      <c r="BX8" s="56">
        <f t="shared" si="20"/>
        <v>0</v>
      </c>
      <c r="BY8" s="11">
        <f t="shared" si="21"/>
        <v>0</v>
      </c>
      <c r="BZ8" s="34">
        <f t="shared" si="22"/>
        <v>2.0000003158160684</v>
      </c>
      <c r="CA8" s="11">
        <f t="shared" si="23"/>
        <v>0</v>
      </c>
      <c r="CB8" s="11">
        <f t="shared" si="24"/>
        <v>0</v>
      </c>
      <c r="CC8" s="54"/>
      <c r="CD8" s="56">
        <f t="shared" si="25"/>
        <v>0</v>
      </c>
      <c r="CE8" s="56">
        <f t="shared" si="26"/>
        <v>0</v>
      </c>
      <c r="CF8" s="56">
        <f t="shared" si="27"/>
        <v>0</v>
      </c>
      <c r="CG8" s="56">
        <f t="shared" si="28"/>
        <v>0</v>
      </c>
      <c r="CH8" s="56">
        <f t="shared" si="29"/>
        <v>0</v>
      </c>
      <c r="CI8" s="56">
        <f t="shared" si="30"/>
        <v>0</v>
      </c>
      <c r="CJ8" s="56">
        <f t="shared" si="31"/>
        <v>0</v>
      </c>
      <c r="CK8" s="56">
        <f t="shared" si="32"/>
        <v>0</v>
      </c>
      <c r="CL8" s="56">
        <f t="shared" si="33"/>
        <v>0</v>
      </c>
      <c r="CM8" s="56">
        <f t="shared" si="34"/>
        <v>0</v>
      </c>
      <c r="CN8" s="56">
        <f t="shared" si="35"/>
        <v>0</v>
      </c>
      <c r="CO8" s="56">
        <f t="shared" si="36"/>
        <v>0</v>
      </c>
      <c r="CP8" s="56">
        <f t="shared" si="37"/>
        <v>0</v>
      </c>
      <c r="CQ8" s="56">
        <f t="shared" si="38"/>
        <v>0</v>
      </c>
      <c r="CR8" s="56">
        <f t="shared" si="39"/>
        <v>0</v>
      </c>
      <c r="CS8" s="56">
        <f t="shared" si="40"/>
        <v>0</v>
      </c>
      <c r="CT8" s="54"/>
      <c r="CV8" s="107" t="str">
        <f t="shared" si="41"/>
        <v/>
      </c>
      <c r="CX8" s="12">
        <f>SUM(BK8:BX8,CD8:CP8)</f>
        <v>0.99988710732994002</v>
      </c>
      <c r="CY8" s="12">
        <f t="shared" si="42"/>
        <v>2.0000003158160684</v>
      </c>
      <c r="CZ8" s="13"/>
    </row>
    <row r="9" spans="1:104" ht="16" customHeight="1">
      <c r="A9" s="4">
        <v>8</v>
      </c>
      <c r="B9" s="5" t="s">
        <v>254</v>
      </c>
      <c r="C9" s="15" t="s">
        <v>253</v>
      </c>
      <c r="D9" s="15"/>
      <c r="H9" s="20">
        <v>0</v>
      </c>
      <c r="I9" s="20">
        <v>0</v>
      </c>
      <c r="J9" s="20">
        <v>0</v>
      </c>
      <c r="K9" s="20">
        <v>0</v>
      </c>
      <c r="L9" s="20">
        <v>30.17</v>
      </c>
      <c r="M9" s="20">
        <v>0</v>
      </c>
      <c r="N9" s="20">
        <v>0</v>
      </c>
      <c r="O9" s="20">
        <v>35.24</v>
      </c>
      <c r="P9" s="20">
        <v>0.01</v>
      </c>
      <c r="Q9" s="20">
        <v>0</v>
      </c>
      <c r="R9" s="20">
        <v>0</v>
      </c>
      <c r="S9" s="9">
        <v>0</v>
      </c>
      <c r="T9" s="9"/>
      <c r="U9" s="9">
        <v>33.32</v>
      </c>
      <c r="V9" s="9">
        <v>0</v>
      </c>
      <c r="W9" s="9">
        <v>0</v>
      </c>
      <c r="X9" s="9">
        <v>0</v>
      </c>
      <c r="Y9" s="54"/>
      <c r="Z9" s="9">
        <v>0.94</v>
      </c>
      <c r="AA9" s="9"/>
      <c r="AB9" s="9"/>
      <c r="AC9" s="9"/>
      <c r="AD9" s="9"/>
      <c r="AE9" s="9">
        <v>0.46</v>
      </c>
      <c r="AF9" s="9"/>
      <c r="AG9" s="9"/>
      <c r="AH9" s="9"/>
      <c r="AI9" s="9"/>
      <c r="AJ9" s="9"/>
      <c r="AK9" s="9"/>
      <c r="AL9" s="9"/>
      <c r="AM9" s="9"/>
      <c r="AN9" s="9"/>
      <c r="AO9" s="9"/>
      <c r="AP9" s="54"/>
      <c r="AR9" s="25">
        <f t="shared" si="0"/>
        <v>100.14</v>
      </c>
      <c r="AS9" s="25"/>
      <c r="AT9" s="41">
        <f>IF(BA9="Mag",2/3,IF(BA9="Ep",1,0))</f>
        <v>0</v>
      </c>
      <c r="AU9" s="21">
        <f t="shared" si="43"/>
        <v>0</v>
      </c>
      <c r="AV9" s="21">
        <f t="shared" si="44"/>
        <v>30.17</v>
      </c>
      <c r="AW9" s="20">
        <f t="shared" si="2"/>
        <v>0</v>
      </c>
      <c r="AX9" s="20">
        <f t="shared" si="3"/>
        <v>0</v>
      </c>
      <c r="AY9" s="85">
        <f t="shared" si="4"/>
        <v>100.14</v>
      </c>
      <c r="AZ9" s="85"/>
      <c r="BA9" s="45" t="s">
        <v>252</v>
      </c>
      <c r="BC9" s="90" t="s">
        <v>189</v>
      </c>
      <c r="BE9" s="50" t="s">
        <v>105</v>
      </c>
      <c r="BF9" s="83">
        <f t="shared" si="5"/>
        <v>1.0391392484016841</v>
      </c>
      <c r="BG9" s="50">
        <v>8</v>
      </c>
      <c r="BH9" s="50">
        <f t="shared" si="6"/>
        <v>0</v>
      </c>
      <c r="BI9" s="50">
        <f t="shared" si="45"/>
        <v>0</v>
      </c>
      <c r="BJ9" s="12"/>
      <c r="BK9" s="11">
        <f t="shared" si="7"/>
        <v>0</v>
      </c>
      <c r="BL9" s="11">
        <f t="shared" si="8"/>
        <v>0</v>
      </c>
      <c r="BM9" s="11">
        <f t="shared" si="9"/>
        <v>0</v>
      </c>
      <c r="BN9" s="11">
        <f t="shared" si="10"/>
        <v>0</v>
      </c>
      <c r="BO9" s="11">
        <f t="shared" si="11"/>
        <v>4.1591755692338719</v>
      </c>
      <c r="BP9" s="11">
        <f t="shared" si="12"/>
        <v>0</v>
      </c>
      <c r="BQ9" s="11">
        <f t="shared" si="13"/>
        <v>0</v>
      </c>
      <c r="BR9" s="11">
        <f t="shared" si="14"/>
        <v>0</v>
      </c>
      <c r="BS9" s="11">
        <f t="shared" si="15"/>
        <v>4.6223504616504467</v>
      </c>
      <c r="BT9" s="11">
        <f t="shared" si="16"/>
        <v>1.1775282153240617E-3</v>
      </c>
      <c r="BU9" s="11">
        <f t="shared" si="17"/>
        <v>0</v>
      </c>
      <c r="BV9" s="11">
        <f t="shared" si="18"/>
        <v>0</v>
      </c>
      <c r="BW9" s="11">
        <f t="shared" si="19"/>
        <v>0</v>
      </c>
      <c r="BX9" s="56">
        <f t="shared" si="20"/>
        <v>0</v>
      </c>
      <c r="BY9" s="11">
        <f t="shared" si="21"/>
        <v>8</v>
      </c>
      <c r="BZ9" s="34">
        <f t="shared" si="22"/>
        <v>0</v>
      </c>
      <c r="CA9" s="11">
        <f t="shared" si="23"/>
        <v>0</v>
      </c>
      <c r="CB9" s="11">
        <f t="shared" si="24"/>
        <v>0</v>
      </c>
      <c r="CC9" s="54"/>
      <c r="CD9" s="56">
        <f t="shared" si="25"/>
        <v>0.12279596759485706</v>
      </c>
      <c r="CE9" s="56">
        <f t="shared" si="26"/>
        <v>0</v>
      </c>
      <c r="CF9" s="56">
        <f t="shared" si="27"/>
        <v>0</v>
      </c>
      <c r="CG9" s="56">
        <f t="shared" si="28"/>
        <v>0</v>
      </c>
      <c r="CH9" s="56">
        <f t="shared" si="29"/>
        <v>0</v>
      </c>
      <c r="CI9" s="56">
        <f t="shared" si="30"/>
        <v>1.7091662919994255E-2</v>
      </c>
      <c r="CJ9" s="56">
        <f t="shared" si="31"/>
        <v>0</v>
      </c>
      <c r="CK9" s="56">
        <f t="shared" si="32"/>
        <v>0</v>
      </c>
      <c r="CL9" s="56">
        <f t="shared" si="33"/>
        <v>0</v>
      </c>
      <c r="CM9" s="56">
        <f t="shared" si="34"/>
        <v>0</v>
      </c>
      <c r="CN9" s="56">
        <f t="shared" si="35"/>
        <v>0</v>
      </c>
      <c r="CO9" s="56">
        <f t="shared" si="36"/>
        <v>0</v>
      </c>
      <c r="CP9" s="56">
        <f t="shared" si="37"/>
        <v>0</v>
      </c>
      <c r="CQ9" s="56">
        <f t="shared" si="38"/>
        <v>0</v>
      </c>
      <c r="CR9" s="56">
        <f t="shared" si="39"/>
        <v>0</v>
      </c>
      <c r="CS9" s="56">
        <f t="shared" si="40"/>
        <v>0</v>
      </c>
      <c r="CT9" s="54"/>
      <c r="CV9" s="107" t="str">
        <f t="shared" si="41"/>
        <v/>
      </c>
      <c r="CX9" s="12">
        <f>SUM(BK9:BX9,CD9:CP9)</f>
        <v>8.9225911896144954</v>
      </c>
      <c r="CY9" s="12">
        <f t="shared" si="42"/>
        <v>8</v>
      </c>
      <c r="CZ9" s="13"/>
    </row>
    <row r="10" spans="1:104" ht="16" customHeight="1">
      <c r="A10" s="4"/>
      <c r="C10" s="15"/>
      <c r="D10" s="15"/>
      <c r="H10" s="20"/>
      <c r="I10" s="20"/>
      <c r="J10" s="20"/>
      <c r="K10" s="20"/>
      <c r="L10" s="20"/>
      <c r="M10" s="20"/>
      <c r="N10" s="20"/>
      <c r="O10" s="20"/>
      <c r="P10" s="20"/>
      <c r="Q10" s="20"/>
      <c r="R10" s="20"/>
      <c r="S10" s="9"/>
      <c r="T10" s="9"/>
      <c r="U10" s="9"/>
      <c r="V10" s="9"/>
      <c r="W10" s="9"/>
      <c r="X10" s="9"/>
      <c r="Y10" s="54"/>
      <c r="Z10" s="9"/>
      <c r="AA10" s="9"/>
      <c r="AB10" s="9"/>
      <c r="AC10" s="9"/>
      <c r="AD10" s="9"/>
      <c r="AE10" s="9"/>
      <c r="AF10" s="9"/>
      <c r="AG10" s="9"/>
      <c r="AH10" s="9"/>
      <c r="AI10" s="9"/>
      <c r="AJ10" s="9"/>
      <c r="AK10" s="9"/>
      <c r="AL10" s="9"/>
      <c r="AM10" s="9"/>
      <c r="AN10" s="9"/>
      <c r="AO10" s="9"/>
      <c r="AP10" s="54"/>
      <c r="AR10" s="25"/>
      <c r="AS10" s="25"/>
      <c r="AT10" s="41"/>
      <c r="AU10" s="21"/>
      <c r="AV10" s="21"/>
      <c r="AW10" s="20"/>
      <c r="AX10" s="20"/>
      <c r="AY10" s="85"/>
      <c r="AZ10" s="85"/>
      <c r="BA10" s="45"/>
      <c r="BC10" s="84"/>
      <c r="BE10" s="50"/>
      <c r="BF10" s="83"/>
      <c r="BG10" s="50"/>
      <c r="BH10" s="50"/>
      <c r="BI10" s="50"/>
      <c r="BJ10" s="12"/>
      <c r="BK10" s="11"/>
      <c r="BL10" s="11"/>
      <c r="BM10" s="11"/>
      <c r="BN10" s="11"/>
      <c r="BO10" s="11"/>
      <c r="BP10" s="11"/>
      <c r="BQ10" s="11"/>
      <c r="BR10" s="11"/>
      <c r="BS10" s="11"/>
      <c r="BT10" s="11"/>
      <c r="BU10" s="11"/>
      <c r="BV10" s="11"/>
      <c r="BW10" s="11"/>
      <c r="BX10" s="56"/>
      <c r="BY10" s="11"/>
      <c r="BZ10" s="34"/>
      <c r="CA10" s="11"/>
      <c r="CB10" s="11"/>
      <c r="CC10" s="54"/>
      <c r="CD10" s="56"/>
      <c r="CE10" s="56"/>
      <c r="CF10" s="56"/>
      <c r="CG10" s="56"/>
      <c r="CH10" s="56"/>
      <c r="CI10" s="56"/>
      <c r="CJ10" s="56"/>
      <c r="CK10" s="56"/>
      <c r="CL10" s="56"/>
      <c r="CM10" s="56"/>
      <c r="CN10" s="56"/>
      <c r="CO10" s="56"/>
      <c r="CP10" s="56"/>
      <c r="CQ10" s="56"/>
      <c r="CR10" s="56"/>
      <c r="CS10" s="56"/>
      <c r="CT10" s="54"/>
      <c r="CV10" s="107"/>
      <c r="CX10" s="12"/>
      <c r="CY10" s="12"/>
      <c r="CZ10" s="13"/>
    </row>
    <row r="11" spans="1:104" ht="16" customHeight="1">
      <c r="A11" s="4">
        <v>1</v>
      </c>
      <c r="B11" s="5" t="s">
        <v>251</v>
      </c>
      <c r="C11" s="15" t="s">
        <v>108</v>
      </c>
      <c r="D11" s="15"/>
      <c r="H11" s="20">
        <v>31.5</v>
      </c>
      <c r="I11" s="20"/>
      <c r="J11" s="20">
        <v>10.77</v>
      </c>
      <c r="K11" s="20"/>
      <c r="L11" s="20"/>
      <c r="M11" s="20"/>
      <c r="N11" s="20"/>
      <c r="O11" s="20"/>
      <c r="P11" s="20"/>
      <c r="Q11" s="20">
        <v>0.76</v>
      </c>
      <c r="R11" s="20">
        <v>8.3000000000000007</v>
      </c>
      <c r="S11" s="9"/>
      <c r="T11" s="9"/>
      <c r="U11" s="9"/>
      <c r="V11" s="9"/>
      <c r="W11" s="9"/>
      <c r="X11" s="9">
        <v>48.66</v>
      </c>
      <c r="Y11" s="54"/>
      <c r="Z11" s="9"/>
      <c r="AA11" s="9"/>
      <c r="AB11" s="9"/>
      <c r="AC11" s="9"/>
      <c r="AD11" s="9"/>
      <c r="AE11" s="9"/>
      <c r="AF11" s="9"/>
      <c r="AG11" s="9"/>
      <c r="AH11" s="9"/>
      <c r="AI11" s="9"/>
      <c r="AJ11" s="9"/>
      <c r="AK11" s="9"/>
      <c r="AL11" s="9"/>
      <c r="AM11" s="9"/>
      <c r="AN11" s="9"/>
      <c r="AO11" s="9"/>
      <c r="AP11" s="54"/>
      <c r="AR11" s="25">
        <f t="shared" ref="AR11:AR50" si="46">SUM(H11:AP11)</f>
        <v>99.99</v>
      </c>
      <c r="AS11" s="25"/>
      <c r="AT11" s="41">
        <f t="shared" ref="AT11:AT50" si="47">IF(BA11="Mag",2/3,IF(BA11="Ep",1,0))</f>
        <v>0</v>
      </c>
      <c r="AU11" s="21">
        <f t="shared" ref="AU11:AU50" si="48">L11*AT11</f>
        <v>0</v>
      </c>
      <c r="AV11" s="21">
        <f t="shared" ref="AV11:AV50" si="49">L11*(1-AT11)</f>
        <v>0</v>
      </c>
      <c r="AW11" s="20">
        <f t="shared" ref="AW11:AW50" si="50">BH11*BF11/BG11</f>
        <v>0</v>
      </c>
      <c r="AX11" s="20">
        <f t="shared" ref="AX11:AX50" si="51">BI11*12.011*BF11/BG11</f>
        <v>0</v>
      </c>
      <c r="AY11" s="85">
        <f t="shared" ref="AY11:AY50" si="52">SUM(H11:AP11)+AW11+AX11</f>
        <v>99.99</v>
      </c>
      <c r="AZ11" s="85"/>
      <c r="BA11" s="45" t="s">
        <v>78</v>
      </c>
      <c r="BC11" s="90" t="s">
        <v>189</v>
      </c>
      <c r="BE11" s="50" t="s">
        <v>14</v>
      </c>
      <c r="BF11" s="83">
        <f t="shared" ref="BF11:BF50" si="53">IF(BE11="O",X11/15.999,
IF(BE11="S",U11/32.065,
IF(BE11="F",V11/18.998403
)))</f>
        <v>3.0414400900056249</v>
      </c>
      <c r="BG11" s="50">
        <v>8</v>
      </c>
      <c r="BH11" s="50">
        <f t="shared" ref="BH11:BH50" si="54">IF(BA11="Amph",2-BZ11-CA11,
IF(BA11="Mica",2-BZ11-CA11,
IF(BA11="Ti-Chu",2-BZ11-2*BL11-CA11,
IF(BA11="Ti-Cho",2-BZ11-2*BL11-CA11,
IF(BA11="F-Ph",2-BZ11-CA11,
IF(BA11="Pl",0,
IF(BA11="Dol",0,
IF(BA11="Cb",0,
IF(BA11="Br",2,
IF(BA11="Bal",40,
IF(BA11="Liz",4,
IF(BA11="Ep",1,
IF(BA11="Chum",2-BZ11-CA11,
IF(BA11="Ol",0,
IF(BA11="Opx",0,
IF(BA11="Tlc",2,
IF(BA11="Tr",2,
IF(BA11="Atg",3.647,
IF(BA11="Chl",16,
IF(BA11="Cpx",0,
IF(BA11="Grt",0,
IF(BA11="Fluorite",0,
IF(BA11="Py",0,
IF(BA11="Mag",0,
IF(BA11="Gp",4,
0)))))))))))))))))))))))))</f>
        <v>0</v>
      </c>
      <c r="BI11" s="50">
        <f t="shared" ref="BI11:BI50" si="55">IF(BA11="Dol",2,
IF(BA11="Cb",1,
0))</f>
        <v>0</v>
      </c>
      <c r="BJ11" s="12"/>
      <c r="BK11" s="11">
        <f t="shared" ref="BK11:BK50" si="56">IF(BC11="%",H11/28.0855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IF(BC11="no",H11/28.0855,
IF(BC11="yes",H11/28.0855*BG11/BF11
)))</f>
        <v>2.9501161472297444</v>
      </c>
      <c r="BL11" s="11">
        <f t="shared" ref="BL11:BL50" si="57">IF(BC11="%",I11/47.867*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IF(BC11="no",I11/47.867,
IF(BC11="yes",I11/47.867*BG11/BF11
)))</f>
        <v>0</v>
      </c>
      <c r="BM11" s="11">
        <f t="shared" ref="BM11:BM50" si="58">IF(BC11="%",J11/26.981539*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IF(BC11="no",J11/26.981539,
IF(BC11="yes",J11/26.981539*BG11/BF11
)))</f>
        <v>1.0499284556513331</v>
      </c>
      <c r="BN11" s="11">
        <f t="shared" ref="BN11:BN50" si="59">IF(BC11="%",K11/51.9961*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IF(BC11="no",K11/51.9961,
IF(BC11="yes",K11/51.9961*BG11/BF11
)))</f>
        <v>0</v>
      </c>
      <c r="BO11" s="11">
        <f t="shared" ref="BO11:BO50" si="60">IF(BC11="%",AV11/55.845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IF(BC11="no",AV11/55.845,
IF(BC11="yes",AV11/55.845*BG11/BF11
)))</f>
        <v>0</v>
      </c>
      <c r="BP11" s="11">
        <f t="shared" ref="BP11:BP50" si="61">IF(BC11="%",AU11/55.845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IF(BC11="no",AU11/55.845,
IF(BC11="yes",AU11/55.845*BG11/BF11
)))</f>
        <v>0</v>
      </c>
      <c r="BQ11" s="11">
        <f t="shared" ref="BQ11:BQ50" si="62">IF(BC11="%",M11/54.938044*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IF(BC11="no",M11/54.938044,
IF(BC11="yes",M11/54.938044*BG11/BF11
)))</f>
        <v>0</v>
      </c>
      <c r="BR11" s="11">
        <f t="shared" ref="BR11:BR50" si="63">IF(BC11="%",N11/24.305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IF(BC11="no",N11/24.305,
IF(BC11="yes",N11/24.305*BG11/BF11
)))</f>
        <v>0</v>
      </c>
      <c r="BS11" s="11">
        <f t="shared" ref="BS11:BS50" si="64">IF(BC11="%",O11/58.6934*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IF(BC11="no",O11/58.6934,
IF(BC11="yes",O11/58.6934*BG11/BF11
)))</f>
        <v>0</v>
      </c>
      <c r="BT11" s="11">
        <f t="shared" ref="BT11:BT50" si="65">IF(BC11="%",P11/65.38*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IF(BC11="no",P11/65.38,
IF(BC11="yes",P11/65.38*BG11/BF11
)))</f>
        <v>0</v>
      </c>
      <c r="BU11" s="11">
        <f t="shared" ref="BU11:BU50" si="66">IF(BC11="%",Q11/40.078*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IF(BC11="no",Q11/40.078,
IF(BC11="yes",Q11/40.078*BG11/BF11
)))</f>
        <v>4.9879061354403308E-2</v>
      </c>
      <c r="BV11" s="11">
        <f t="shared" ref="BV11:BV50" si="67">IF(BC11="%",R11/22.989769*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IF(BC11="no",R11/22.989769,
IF(BC11="yes",R11/22.989769*BG11/BF11
)))</f>
        <v>0.9496295180364992</v>
      </c>
      <c r="BW11" s="11">
        <f t="shared" ref="BW11:BW50" si="68">IF(BC11="%",S11/39.0983*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IF(BC11="no",S11/39.0983,
IF(BC11="yes",S11/39.0983*BG11/BF11
)))</f>
        <v>0</v>
      </c>
      <c r="BX11" s="56">
        <f t="shared" ref="BX11:BX50" si="69">IF(BC11="%",T11/39.0983*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IF(BC11="no",T11/39.0983,
IF(BC11="yes",T11/39.0983*BG11/BF11
)))</f>
        <v>0</v>
      </c>
      <c r="BY11" s="11">
        <f t="shared" ref="BY11:BY50" si="70">IF(BC11="%",U11/32.065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IF(BC11="no",U11/32.065,
IF(BC11="yes",U11/32.065*BG11/BF11
)))</f>
        <v>0</v>
      </c>
      <c r="BZ11" s="34">
        <f t="shared" ref="BZ11:BZ50" si="71">IF(BC11="%",V11/18.9984*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IF(BC11="no",V11/18.9984,
IF(BC11="yes",V11/18.9984*BG11/BF11
)))</f>
        <v>0</v>
      </c>
      <c r="CA11" s="11">
        <f t="shared" ref="CA11:CA50" si="72">IF(BC11="%",W11/35.453*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IF(BC11="no",W11/35.453,
IF(BC11="yes",W11/35.453*BG11/BF11
)))</f>
        <v>0</v>
      </c>
      <c r="CB11" s="11">
        <f t="shared" ref="CB11:CB50" si="73">IF(BC11="%",X11/15.999*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IF(BC11="no",X11/15.999,
IF(BC11="yes",X11/15.999*BG11/BF11
)))</f>
        <v>8</v>
      </c>
      <c r="CC11" s="54"/>
      <c r="CD11" s="56">
        <f t="shared" ref="CD11:CD50" si="74">IF(BC11="%",Z11/58.933195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IF(BC11="no",Z11/58.933195,
IF(BC11="yes",Z11/58.933195*BG11/BF11
)))</f>
        <v>0</v>
      </c>
      <c r="CE11" s="56">
        <f t="shared" ref="CE11:CE50" si="75">IF(BC11="%",AA11/63.546*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IF(BC11="no",AA11/63.546,
IF(BC11="yes",AA11/63.546*BG11/BF11
)))</f>
        <v>0</v>
      </c>
      <c r="CF11" s="56">
        <f t="shared" ref="CF11:CF50" si="76">IF(BC11="%",AB11/9.012182*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IF(BC11="no",AB11/9.012182,
IF(BC11="yes",AB11/9.012182*BG11/BF11
)))</f>
        <v>0</v>
      </c>
      <c r="CG11" s="56">
        <f t="shared" ref="CG11:CG50" si="77">IF(BC11="%",AC11/137.327*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IF(BC11="no",AC11/137.327,
IF(BC11="yes",AC11/137.327*BG11/BF11
)))</f>
        <v>0</v>
      </c>
      <c r="CH11" s="56">
        <f t="shared" ref="CH11:CH50" si="78">IF(BC11="%",AD11/87.62*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IF(BC11="no",AD11/87.62,
IF(BC11="yes",AD11/87.62*BG11/BF11
)))</f>
        <v>0</v>
      </c>
      <c r="CI11" s="56">
        <f t="shared" ref="CI11:CI50" si="79">IF(BC11="%",AE11/207.2*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IF(BC11="no",AE11/207.2,
IF(BC11="yes",AE11/207.2*BG11/BF11
)))</f>
        <v>0</v>
      </c>
      <c r="CJ11" s="56">
        <f t="shared" ref="CJ11:CJ50" si="80">IF(BC11="%",AF11/50.9415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IF(BC11="no",AF11/50.9415,
IF(BC11="yes",AF11/50.9415*BG11/BF11
)))</f>
        <v>0</v>
      </c>
      <c r="CK11" s="56">
        <f t="shared" ref="CK11:CK50" si="81">IF(BC11="%",AG11/118.71*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IF(BC11="no",AG11/118.71,
IF(BC11="yes",AG11/118.71*BG11/BF11
)))</f>
        <v>0</v>
      </c>
      <c r="CL11" s="56">
        <f t="shared" ref="CL11:CL50" si="82">IF(BC11="%",AH11/91.224*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IF(BC11="no",AH11/91.224,
IF(BC11="yes",AH11/91.224*BG11/BF11
)))</f>
        <v>0</v>
      </c>
      <c r="CM11" s="56">
        <f t="shared" ref="CM11:CM50" si="83">IF(BC11="%",AI11/88.90585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IF(BC11="no",AI11/88.90585,
IF(BC11="yes",AI11/88.90585*BG11/BF11
)))</f>
        <v>0</v>
      </c>
      <c r="CN11" s="56">
        <f t="shared" ref="CN11:CN50" si="84">IF(BC11="%",AJ11/95.95*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IF(BC11="no",AJ11/95.95,
IF(BC11="yes",AJ11/95.95*BG11/BF11
)))</f>
        <v>0</v>
      </c>
      <c r="CO11" s="56">
        <f t="shared" ref="CO11:CO50" si="85">IF(BC11="%",AK11/183.84*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IF(BC11="no",AK11/183.84,
IF(BC11="yes",AK11/183.84*BG11/BF11
)))</f>
        <v>0</v>
      </c>
      <c r="CP11" s="56">
        <f t="shared" ref="CP11:CP50" si="86">IF(BC11="%",AL11/74.9216*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IF(BC11="no",AL11/74.9216,
IF(BC11="yes",AL11/74.9216*BG11/BF11
)))</f>
        <v>0</v>
      </c>
      <c r="CQ11" s="56">
        <f t="shared" ref="CQ11:CQ50" si="87">IF(BC11="%",AM11/78.96*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IF(BC11="no",AM11/78.96,
IF(BC11="yes",AM11/78.96*BG11/BF11
)))</f>
        <v>0</v>
      </c>
      <c r="CR11" s="56">
        <f t="shared" ref="CR11:CR50" si="88">IF(BC11="%",AN11/121.76*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IF(BC11="no",AN11/121.76,
IF(BC11="yes",AN11/121.76*BG11/BF11
)))</f>
        <v>0</v>
      </c>
      <c r="CS11" s="56">
        <f t="shared" ref="CS11:CS50" si="89">IF(BC11="%",AO11/127.6*100/(H11/28.0855+I11/47.867+J11/26.981539+K11/51.9961+AV11/55.845+AU11/55.845+M11/54.938044+N11/24.305+O11/58.6934+P11/65.38+Q11/40.078+R11/22.989769+S11/39.0983+T11/30.973762+Z11/58.933195+AA11/63.546+AB11/9.012182+AC11/137.327+AD11/87.62+AE11/207.2+AF11/50.9415+AG11/118.71+AH11/91.224+AI11/88.90585+AJ11/95.95+AK11/183.84+AL11/74.9216+AM11/78.96+AN11/121.76+AO11/127.6+V11/18.9984+W11/35.453+X11/15.999+U11/32.065),
IF(BC11="no",AO11/127.6,
IF(BC11="yes",AO11/127.6*BG11/BF11
)))</f>
        <v>0</v>
      </c>
      <c r="CT11" s="54"/>
      <c r="CV11" s="107" t="str">
        <f t="shared" ref="CV11:CV50" si="90">IF(BC11="%",SUM(BK11:CS11),"")</f>
        <v/>
      </c>
      <c r="CX11" s="12">
        <f t="shared" ref="CX11:CX50" si="91">SUM(BK11:BX11,CD11:CP11)</f>
        <v>4.9995531822719794</v>
      </c>
      <c r="CY11" s="12">
        <f t="shared" ref="CY11:CY50" si="92">BZ11+CA11+CB11+BY11</f>
        <v>8</v>
      </c>
      <c r="CZ11" s="13"/>
    </row>
    <row r="12" spans="1:104" ht="16" customHeight="1">
      <c r="A12" s="4">
        <v>2</v>
      </c>
      <c r="B12" s="5" t="s">
        <v>250</v>
      </c>
      <c r="C12" s="15" t="s">
        <v>108</v>
      </c>
      <c r="D12" s="15"/>
      <c r="H12" s="20">
        <v>31.5</v>
      </c>
      <c r="I12" s="20"/>
      <c r="J12" s="20">
        <v>10.77</v>
      </c>
      <c r="K12" s="20"/>
      <c r="L12" s="20"/>
      <c r="M12" s="20"/>
      <c r="N12" s="20"/>
      <c r="O12" s="20"/>
      <c r="P12" s="20"/>
      <c r="Q12" s="20">
        <v>0.76</v>
      </c>
      <c r="R12" s="20">
        <v>8.3000000000000007</v>
      </c>
      <c r="S12" s="9"/>
      <c r="T12" s="9"/>
      <c r="U12" s="9"/>
      <c r="V12" s="9"/>
      <c r="W12" s="9"/>
      <c r="X12" s="9">
        <v>48.66</v>
      </c>
      <c r="Y12" s="54"/>
      <c r="Z12" s="9"/>
      <c r="AA12" s="9"/>
      <c r="AB12" s="9"/>
      <c r="AC12" s="9"/>
      <c r="AD12" s="9"/>
      <c r="AE12" s="9"/>
      <c r="AF12" s="9"/>
      <c r="AG12" s="9"/>
      <c r="AH12" s="9"/>
      <c r="AI12" s="9"/>
      <c r="AJ12" s="9"/>
      <c r="AK12" s="9"/>
      <c r="AL12" s="9"/>
      <c r="AM12" s="9"/>
      <c r="AN12" s="9"/>
      <c r="AO12" s="9"/>
      <c r="AP12" s="54"/>
      <c r="AR12" s="25">
        <f t="shared" si="46"/>
        <v>99.99</v>
      </c>
      <c r="AS12" s="25"/>
      <c r="AT12" s="41">
        <f t="shared" si="47"/>
        <v>0</v>
      </c>
      <c r="AU12" s="21">
        <f t="shared" si="48"/>
        <v>0</v>
      </c>
      <c r="AV12" s="21">
        <f t="shared" si="49"/>
        <v>0</v>
      </c>
      <c r="AW12" s="20">
        <f t="shared" si="50"/>
        <v>0</v>
      </c>
      <c r="AX12" s="20">
        <f t="shared" si="51"/>
        <v>0</v>
      </c>
      <c r="AY12" s="85">
        <f t="shared" si="52"/>
        <v>99.99</v>
      </c>
      <c r="AZ12" s="85"/>
      <c r="BA12" s="45" t="s">
        <v>78</v>
      </c>
      <c r="BC12" s="90" t="s">
        <v>189</v>
      </c>
      <c r="BE12" s="50" t="s">
        <v>14</v>
      </c>
      <c r="BF12" s="83">
        <f t="shared" si="53"/>
        <v>3.0414400900056249</v>
      </c>
      <c r="BG12" s="50">
        <v>8</v>
      </c>
      <c r="BH12" s="50">
        <f t="shared" si="54"/>
        <v>0</v>
      </c>
      <c r="BI12" s="50">
        <f t="shared" si="55"/>
        <v>0</v>
      </c>
      <c r="BJ12" s="12"/>
      <c r="BK12" s="11">
        <f t="shared" si="56"/>
        <v>2.9501161472297444</v>
      </c>
      <c r="BL12" s="11">
        <f t="shared" si="57"/>
        <v>0</v>
      </c>
      <c r="BM12" s="11">
        <f t="shared" si="58"/>
        <v>1.0499284556513331</v>
      </c>
      <c r="BN12" s="11">
        <f t="shared" si="59"/>
        <v>0</v>
      </c>
      <c r="BO12" s="11">
        <f t="shared" si="60"/>
        <v>0</v>
      </c>
      <c r="BP12" s="11">
        <f t="shared" si="61"/>
        <v>0</v>
      </c>
      <c r="BQ12" s="11">
        <f t="shared" si="62"/>
        <v>0</v>
      </c>
      <c r="BR12" s="11">
        <f t="shared" si="63"/>
        <v>0</v>
      </c>
      <c r="BS12" s="11">
        <f t="shared" si="64"/>
        <v>0</v>
      </c>
      <c r="BT12" s="11">
        <f t="shared" si="65"/>
        <v>0</v>
      </c>
      <c r="BU12" s="11">
        <f t="shared" si="66"/>
        <v>4.9879061354403308E-2</v>
      </c>
      <c r="BV12" s="11">
        <f t="shared" si="67"/>
        <v>0.9496295180364992</v>
      </c>
      <c r="BW12" s="11">
        <f t="shared" si="68"/>
        <v>0</v>
      </c>
      <c r="BX12" s="56">
        <f t="shared" si="69"/>
        <v>0</v>
      </c>
      <c r="BY12" s="11">
        <f t="shared" si="70"/>
        <v>0</v>
      </c>
      <c r="BZ12" s="34">
        <f t="shared" si="71"/>
        <v>0</v>
      </c>
      <c r="CA12" s="11">
        <f t="shared" si="72"/>
        <v>0</v>
      </c>
      <c r="CB12" s="11">
        <f t="shared" si="73"/>
        <v>8</v>
      </c>
      <c r="CC12" s="54"/>
      <c r="CD12" s="56">
        <f t="shared" si="74"/>
        <v>0</v>
      </c>
      <c r="CE12" s="56">
        <f t="shared" si="75"/>
        <v>0</v>
      </c>
      <c r="CF12" s="56">
        <f t="shared" si="76"/>
        <v>0</v>
      </c>
      <c r="CG12" s="56">
        <f t="shared" si="77"/>
        <v>0</v>
      </c>
      <c r="CH12" s="56">
        <f t="shared" si="78"/>
        <v>0</v>
      </c>
      <c r="CI12" s="56">
        <f t="shared" si="79"/>
        <v>0</v>
      </c>
      <c r="CJ12" s="56">
        <f t="shared" si="80"/>
        <v>0</v>
      </c>
      <c r="CK12" s="56">
        <f t="shared" si="81"/>
        <v>0</v>
      </c>
      <c r="CL12" s="56">
        <f t="shared" si="82"/>
        <v>0</v>
      </c>
      <c r="CM12" s="56">
        <f t="shared" si="83"/>
        <v>0</v>
      </c>
      <c r="CN12" s="56">
        <f t="shared" si="84"/>
        <v>0</v>
      </c>
      <c r="CO12" s="56">
        <f t="shared" si="85"/>
        <v>0</v>
      </c>
      <c r="CP12" s="56">
        <f t="shared" si="86"/>
        <v>0</v>
      </c>
      <c r="CQ12" s="56">
        <f t="shared" si="87"/>
        <v>0</v>
      </c>
      <c r="CR12" s="56">
        <f t="shared" si="88"/>
        <v>0</v>
      </c>
      <c r="CS12" s="56">
        <f t="shared" si="89"/>
        <v>0</v>
      </c>
      <c r="CT12" s="54"/>
      <c r="CV12" s="107" t="str">
        <f t="shared" si="90"/>
        <v/>
      </c>
      <c r="CX12" s="12">
        <f t="shared" si="91"/>
        <v>4.9995531822719794</v>
      </c>
      <c r="CY12" s="12">
        <f t="shared" si="92"/>
        <v>8</v>
      </c>
      <c r="CZ12" s="13"/>
    </row>
    <row r="13" spans="1:104" ht="16" customHeight="1">
      <c r="A13" s="4">
        <v>3</v>
      </c>
      <c r="B13" s="5" t="s">
        <v>249</v>
      </c>
      <c r="C13" s="15" t="s">
        <v>108</v>
      </c>
      <c r="D13" s="15"/>
      <c r="H13" s="9"/>
      <c r="I13" s="9"/>
      <c r="J13" s="9"/>
      <c r="K13" s="9"/>
      <c r="L13" s="9">
        <v>46.55</v>
      </c>
      <c r="M13" s="9"/>
      <c r="N13" s="9"/>
      <c r="O13" s="9"/>
      <c r="P13" s="9"/>
      <c r="Q13" s="9"/>
      <c r="R13" s="9"/>
      <c r="S13" s="9"/>
      <c r="T13" s="9"/>
      <c r="U13" s="9">
        <v>53.45</v>
      </c>
      <c r="V13" s="9"/>
      <c r="W13" s="9"/>
      <c r="X13" s="9"/>
      <c r="Y13" s="54"/>
      <c r="Z13" s="9"/>
      <c r="AA13" s="9"/>
      <c r="AB13" s="9"/>
      <c r="AC13" s="9"/>
      <c r="AD13" s="9"/>
      <c r="AE13" s="9"/>
      <c r="AF13" s="9"/>
      <c r="AG13" s="9"/>
      <c r="AH13" s="9"/>
      <c r="AI13" s="9"/>
      <c r="AJ13" s="9"/>
      <c r="AK13" s="9"/>
      <c r="AL13" s="9"/>
      <c r="AM13" s="9"/>
      <c r="AN13" s="9"/>
      <c r="AO13" s="9"/>
      <c r="AP13" s="54"/>
      <c r="AQ13" s="9"/>
      <c r="AR13" s="25">
        <f t="shared" si="46"/>
        <v>100</v>
      </c>
      <c r="AS13" s="24"/>
      <c r="AT13" s="41">
        <f t="shared" si="47"/>
        <v>0</v>
      </c>
      <c r="AU13" s="21">
        <f t="shared" si="48"/>
        <v>0</v>
      </c>
      <c r="AV13" s="21">
        <f t="shared" si="49"/>
        <v>46.55</v>
      </c>
      <c r="AW13" s="20">
        <f t="shared" si="50"/>
        <v>0</v>
      </c>
      <c r="AX13" s="20">
        <f t="shared" si="51"/>
        <v>0</v>
      </c>
      <c r="AY13" s="85">
        <f t="shared" si="52"/>
        <v>100</v>
      </c>
      <c r="AZ13" s="85"/>
      <c r="BA13" s="45" t="s">
        <v>246</v>
      </c>
      <c r="BC13" s="90" t="s">
        <v>189</v>
      </c>
      <c r="BD13" s="89"/>
      <c r="BE13" s="50" t="s">
        <v>105</v>
      </c>
      <c r="BF13" s="83">
        <f t="shared" si="53"/>
        <v>1.6669265554342743</v>
      </c>
      <c r="BG13" s="50">
        <v>2</v>
      </c>
      <c r="BH13" s="50">
        <f t="shared" si="54"/>
        <v>0</v>
      </c>
      <c r="BI13" s="50">
        <f t="shared" si="55"/>
        <v>0</v>
      </c>
      <c r="BJ13" s="12"/>
      <c r="BK13" s="11">
        <f t="shared" si="56"/>
        <v>0</v>
      </c>
      <c r="BL13" s="11">
        <f t="shared" si="57"/>
        <v>0</v>
      </c>
      <c r="BM13" s="11">
        <f t="shared" si="58"/>
        <v>0</v>
      </c>
      <c r="BN13" s="11">
        <f t="shared" si="59"/>
        <v>0</v>
      </c>
      <c r="BO13" s="11">
        <f t="shared" si="60"/>
        <v>1.0001126497645116</v>
      </c>
      <c r="BP13" s="11">
        <f t="shared" si="61"/>
        <v>0</v>
      </c>
      <c r="BQ13" s="11">
        <f t="shared" si="62"/>
        <v>0</v>
      </c>
      <c r="BR13" s="11">
        <f t="shared" si="63"/>
        <v>0</v>
      </c>
      <c r="BS13" s="11">
        <f t="shared" si="64"/>
        <v>0</v>
      </c>
      <c r="BT13" s="11">
        <f t="shared" si="65"/>
        <v>0</v>
      </c>
      <c r="BU13" s="11">
        <f t="shared" si="66"/>
        <v>0</v>
      </c>
      <c r="BV13" s="11">
        <f t="shared" si="67"/>
        <v>0</v>
      </c>
      <c r="BW13" s="11">
        <f t="shared" si="68"/>
        <v>0</v>
      </c>
      <c r="BX13" s="56">
        <f t="shared" si="69"/>
        <v>0</v>
      </c>
      <c r="BY13" s="11">
        <f t="shared" si="70"/>
        <v>2</v>
      </c>
      <c r="BZ13" s="34">
        <f t="shared" si="71"/>
        <v>0</v>
      </c>
      <c r="CA13" s="11">
        <f t="shared" si="72"/>
        <v>0</v>
      </c>
      <c r="CB13" s="11">
        <f t="shared" si="73"/>
        <v>0</v>
      </c>
      <c r="CC13" s="54"/>
      <c r="CD13" s="56">
        <f t="shared" si="74"/>
        <v>0</v>
      </c>
      <c r="CE13" s="56">
        <f t="shared" si="75"/>
        <v>0</v>
      </c>
      <c r="CF13" s="56">
        <f t="shared" si="76"/>
        <v>0</v>
      </c>
      <c r="CG13" s="56">
        <f t="shared" si="77"/>
        <v>0</v>
      </c>
      <c r="CH13" s="56">
        <f t="shared" si="78"/>
        <v>0</v>
      </c>
      <c r="CI13" s="56">
        <f t="shared" si="79"/>
        <v>0</v>
      </c>
      <c r="CJ13" s="56">
        <f t="shared" si="80"/>
        <v>0</v>
      </c>
      <c r="CK13" s="56">
        <f t="shared" si="81"/>
        <v>0</v>
      </c>
      <c r="CL13" s="56">
        <f t="shared" si="82"/>
        <v>0</v>
      </c>
      <c r="CM13" s="56">
        <f t="shared" si="83"/>
        <v>0</v>
      </c>
      <c r="CN13" s="56">
        <f t="shared" si="84"/>
        <v>0</v>
      </c>
      <c r="CO13" s="56">
        <f t="shared" si="85"/>
        <v>0</v>
      </c>
      <c r="CP13" s="56">
        <f t="shared" si="86"/>
        <v>0</v>
      </c>
      <c r="CQ13" s="56">
        <f t="shared" si="87"/>
        <v>0</v>
      </c>
      <c r="CR13" s="56">
        <f t="shared" si="88"/>
        <v>0</v>
      </c>
      <c r="CS13" s="56">
        <f t="shared" si="89"/>
        <v>0</v>
      </c>
      <c r="CT13" s="54"/>
      <c r="CV13" s="107" t="str">
        <f t="shared" si="90"/>
        <v/>
      </c>
      <c r="CX13" s="12">
        <f t="shared" si="91"/>
        <v>1.0001126497645116</v>
      </c>
      <c r="CY13" s="12">
        <f t="shared" si="92"/>
        <v>2</v>
      </c>
      <c r="CZ13" s="13"/>
    </row>
    <row r="14" spans="1:104" ht="16" customHeight="1">
      <c r="A14" s="4">
        <v>4</v>
      </c>
      <c r="B14" s="5" t="s">
        <v>248</v>
      </c>
      <c r="C14" s="15" t="s">
        <v>108</v>
      </c>
      <c r="D14" s="15"/>
      <c r="H14" s="9"/>
      <c r="I14" s="9"/>
      <c r="J14" s="9"/>
      <c r="K14" s="9"/>
      <c r="L14" s="9">
        <v>46.55</v>
      </c>
      <c r="M14" s="9"/>
      <c r="N14" s="9"/>
      <c r="O14" s="9"/>
      <c r="P14" s="9"/>
      <c r="Q14" s="9"/>
      <c r="R14" s="9"/>
      <c r="S14" s="9"/>
      <c r="T14" s="9"/>
      <c r="U14" s="9">
        <v>53.45</v>
      </c>
      <c r="V14" s="9"/>
      <c r="W14" s="9"/>
      <c r="X14" s="9"/>
      <c r="Y14" s="91"/>
      <c r="Z14" s="9"/>
      <c r="AA14" s="9"/>
      <c r="AB14" s="9"/>
      <c r="AC14" s="9"/>
      <c r="AD14" s="9"/>
      <c r="AE14" s="9"/>
      <c r="AF14" s="9"/>
      <c r="AG14" s="9"/>
      <c r="AH14" s="9"/>
      <c r="AI14" s="9"/>
      <c r="AJ14" s="9"/>
      <c r="AK14" s="9"/>
      <c r="AL14" s="9"/>
      <c r="AM14" s="9"/>
      <c r="AN14" s="9"/>
      <c r="AO14" s="9"/>
      <c r="AP14" s="91"/>
      <c r="AQ14" s="9"/>
      <c r="AR14" s="25">
        <f t="shared" si="46"/>
        <v>100</v>
      </c>
      <c r="AS14" s="86"/>
      <c r="AT14" s="41">
        <f t="shared" si="47"/>
        <v>0</v>
      </c>
      <c r="AU14" s="21">
        <f t="shared" si="48"/>
        <v>0</v>
      </c>
      <c r="AV14" s="21">
        <f t="shared" si="49"/>
        <v>46.55</v>
      </c>
      <c r="AW14" s="20">
        <f t="shared" si="50"/>
        <v>0</v>
      </c>
      <c r="AX14" s="20">
        <f t="shared" si="51"/>
        <v>0</v>
      </c>
      <c r="AY14" s="85">
        <f t="shared" si="52"/>
        <v>100</v>
      </c>
      <c r="AZ14" s="85"/>
      <c r="BA14" s="45" t="s">
        <v>246</v>
      </c>
      <c r="BC14" s="90" t="s">
        <v>189</v>
      </c>
      <c r="BD14" s="89"/>
      <c r="BE14" s="50" t="s">
        <v>105</v>
      </c>
      <c r="BF14" s="83">
        <f t="shared" si="53"/>
        <v>1.6669265554342743</v>
      </c>
      <c r="BG14" s="50">
        <v>2</v>
      </c>
      <c r="BH14" s="50">
        <f t="shared" si="54"/>
        <v>0</v>
      </c>
      <c r="BI14" s="50">
        <f t="shared" si="55"/>
        <v>0</v>
      </c>
      <c r="BJ14" s="12"/>
      <c r="BK14" s="11">
        <f t="shared" si="56"/>
        <v>0</v>
      </c>
      <c r="BL14" s="11">
        <f t="shared" si="57"/>
        <v>0</v>
      </c>
      <c r="BM14" s="11">
        <f t="shared" si="58"/>
        <v>0</v>
      </c>
      <c r="BN14" s="11">
        <f t="shared" si="59"/>
        <v>0</v>
      </c>
      <c r="BO14" s="11">
        <f t="shared" si="60"/>
        <v>1.0001126497645116</v>
      </c>
      <c r="BP14" s="11">
        <f t="shared" si="61"/>
        <v>0</v>
      </c>
      <c r="BQ14" s="11">
        <f t="shared" si="62"/>
        <v>0</v>
      </c>
      <c r="BR14" s="11">
        <f t="shared" si="63"/>
        <v>0</v>
      </c>
      <c r="BS14" s="11">
        <f t="shared" si="64"/>
        <v>0</v>
      </c>
      <c r="BT14" s="11">
        <f t="shared" si="65"/>
        <v>0</v>
      </c>
      <c r="BU14" s="11">
        <f t="shared" si="66"/>
        <v>0</v>
      </c>
      <c r="BV14" s="11">
        <f t="shared" si="67"/>
        <v>0</v>
      </c>
      <c r="BW14" s="11">
        <f t="shared" si="68"/>
        <v>0</v>
      </c>
      <c r="BX14" s="56">
        <f t="shared" si="69"/>
        <v>0</v>
      </c>
      <c r="BY14" s="11">
        <f t="shared" si="70"/>
        <v>2</v>
      </c>
      <c r="BZ14" s="34">
        <f t="shared" si="71"/>
        <v>0</v>
      </c>
      <c r="CA14" s="11">
        <f t="shared" si="72"/>
        <v>0</v>
      </c>
      <c r="CB14" s="11">
        <f t="shared" si="73"/>
        <v>0</v>
      </c>
      <c r="CC14" s="54"/>
      <c r="CD14" s="56">
        <f t="shared" si="74"/>
        <v>0</v>
      </c>
      <c r="CE14" s="56">
        <f t="shared" si="75"/>
        <v>0</v>
      </c>
      <c r="CF14" s="56">
        <f t="shared" si="76"/>
        <v>0</v>
      </c>
      <c r="CG14" s="56">
        <f t="shared" si="77"/>
        <v>0</v>
      </c>
      <c r="CH14" s="56">
        <f t="shared" si="78"/>
        <v>0</v>
      </c>
      <c r="CI14" s="56">
        <f t="shared" si="79"/>
        <v>0</v>
      </c>
      <c r="CJ14" s="56">
        <f t="shared" si="80"/>
        <v>0</v>
      </c>
      <c r="CK14" s="56">
        <f t="shared" si="81"/>
        <v>0</v>
      </c>
      <c r="CL14" s="56">
        <f t="shared" si="82"/>
        <v>0</v>
      </c>
      <c r="CM14" s="56">
        <f t="shared" si="83"/>
        <v>0</v>
      </c>
      <c r="CN14" s="56">
        <f t="shared" si="84"/>
        <v>0</v>
      </c>
      <c r="CO14" s="56">
        <f t="shared" si="85"/>
        <v>0</v>
      </c>
      <c r="CP14" s="56">
        <f t="shared" si="86"/>
        <v>0</v>
      </c>
      <c r="CQ14" s="56">
        <f t="shared" si="87"/>
        <v>0</v>
      </c>
      <c r="CR14" s="56">
        <f t="shared" si="88"/>
        <v>0</v>
      </c>
      <c r="CS14" s="56">
        <f t="shared" si="89"/>
        <v>0</v>
      </c>
      <c r="CT14" s="54"/>
      <c r="CV14" s="107" t="str">
        <f t="shared" si="90"/>
        <v/>
      </c>
      <c r="CX14" s="12">
        <f t="shared" si="91"/>
        <v>1.0001126497645116</v>
      </c>
      <c r="CY14" s="12">
        <f t="shared" si="92"/>
        <v>2</v>
      </c>
      <c r="CZ14" s="13"/>
    </row>
    <row r="15" spans="1:104" ht="16" customHeight="1">
      <c r="A15" s="4">
        <v>5</v>
      </c>
      <c r="B15" s="5" t="s">
        <v>247</v>
      </c>
      <c r="C15" s="15" t="s">
        <v>108</v>
      </c>
      <c r="D15" s="15"/>
      <c r="H15" s="20"/>
      <c r="I15" s="20"/>
      <c r="J15" s="20"/>
      <c r="K15" s="20"/>
      <c r="L15" s="20">
        <v>5.79</v>
      </c>
      <c r="M15" s="20"/>
      <c r="N15" s="20"/>
      <c r="O15" s="20"/>
      <c r="P15" s="20">
        <v>60.98</v>
      </c>
      <c r="Q15" s="20"/>
      <c r="R15" s="20"/>
      <c r="S15" s="9"/>
      <c r="T15" s="9"/>
      <c r="U15" s="9">
        <v>33.229999999999997</v>
      </c>
      <c r="V15" s="9"/>
      <c r="W15" s="9"/>
      <c r="X15" s="9"/>
      <c r="Y15" s="54"/>
      <c r="Z15" s="9"/>
      <c r="AA15" s="9"/>
      <c r="AB15" s="9"/>
      <c r="AC15" s="9"/>
      <c r="AD15" s="9"/>
      <c r="AE15" s="9"/>
      <c r="AF15" s="9"/>
      <c r="AG15" s="9"/>
      <c r="AH15" s="9"/>
      <c r="AI15" s="9"/>
      <c r="AJ15" s="9"/>
      <c r="AK15" s="9"/>
      <c r="AL15" s="9"/>
      <c r="AM15" s="9"/>
      <c r="AN15" s="9"/>
      <c r="AO15" s="9"/>
      <c r="AP15" s="54"/>
      <c r="AR15" s="25">
        <f t="shared" si="46"/>
        <v>100</v>
      </c>
      <c r="AS15" s="86"/>
      <c r="AT15" s="41">
        <f t="shared" si="47"/>
        <v>0</v>
      </c>
      <c r="AU15" s="21">
        <f t="shared" si="48"/>
        <v>0</v>
      </c>
      <c r="AV15" s="21">
        <f t="shared" si="49"/>
        <v>5.79</v>
      </c>
      <c r="AW15" s="20">
        <f t="shared" si="50"/>
        <v>0</v>
      </c>
      <c r="AX15" s="20">
        <f t="shared" si="51"/>
        <v>0</v>
      </c>
      <c r="AY15" s="85">
        <f t="shared" si="52"/>
        <v>100</v>
      </c>
      <c r="AZ15" s="85"/>
      <c r="BA15" s="45" t="s">
        <v>246</v>
      </c>
      <c r="BC15" s="84" t="s">
        <v>189</v>
      </c>
      <c r="BE15" s="50" t="s">
        <v>105</v>
      </c>
      <c r="BF15" s="83">
        <f t="shared" si="53"/>
        <v>1.0363324497115234</v>
      </c>
      <c r="BG15" s="50">
        <v>1</v>
      </c>
      <c r="BH15" s="50">
        <f t="shared" si="54"/>
        <v>0</v>
      </c>
      <c r="BI15" s="50">
        <f t="shared" si="55"/>
        <v>0</v>
      </c>
      <c r="BJ15" s="12"/>
      <c r="BK15" s="11">
        <f t="shared" si="56"/>
        <v>0</v>
      </c>
      <c r="BL15" s="11">
        <f t="shared" si="57"/>
        <v>0</v>
      </c>
      <c r="BM15" s="11">
        <f t="shared" si="58"/>
        <v>0</v>
      </c>
      <c r="BN15" s="11">
        <f t="shared" si="59"/>
        <v>0</v>
      </c>
      <c r="BO15" s="11">
        <f t="shared" si="60"/>
        <v>0.10004494998152615</v>
      </c>
      <c r="BP15" s="11">
        <f t="shared" si="61"/>
        <v>0</v>
      </c>
      <c r="BQ15" s="11">
        <f t="shared" si="62"/>
        <v>0</v>
      </c>
      <c r="BR15" s="11">
        <f t="shared" si="63"/>
        <v>0</v>
      </c>
      <c r="BS15" s="11">
        <f t="shared" si="64"/>
        <v>0</v>
      </c>
      <c r="BT15" s="11">
        <f t="shared" si="65"/>
        <v>0.90000185954249556</v>
      </c>
      <c r="BU15" s="11">
        <f t="shared" si="66"/>
        <v>0</v>
      </c>
      <c r="BV15" s="11">
        <f t="shared" si="67"/>
        <v>0</v>
      </c>
      <c r="BW15" s="11">
        <f t="shared" si="68"/>
        <v>0</v>
      </c>
      <c r="BX15" s="56">
        <f t="shared" si="69"/>
        <v>0</v>
      </c>
      <c r="BY15" s="11">
        <f t="shared" si="70"/>
        <v>1</v>
      </c>
      <c r="BZ15" s="34">
        <f t="shared" si="71"/>
        <v>0</v>
      </c>
      <c r="CA15" s="11">
        <f t="shared" si="72"/>
        <v>0</v>
      </c>
      <c r="CB15" s="11">
        <f t="shared" si="73"/>
        <v>0</v>
      </c>
      <c r="CC15" s="54"/>
      <c r="CD15" s="56">
        <f t="shared" si="74"/>
        <v>0</v>
      </c>
      <c r="CE15" s="56">
        <f t="shared" si="75"/>
        <v>0</v>
      </c>
      <c r="CF15" s="56">
        <f t="shared" si="76"/>
        <v>0</v>
      </c>
      <c r="CG15" s="56">
        <f t="shared" si="77"/>
        <v>0</v>
      </c>
      <c r="CH15" s="56">
        <f t="shared" si="78"/>
        <v>0</v>
      </c>
      <c r="CI15" s="56">
        <f t="shared" si="79"/>
        <v>0</v>
      </c>
      <c r="CJ15" s="56">
        <f t="shared" si="80"/>
        <v>0</v>
      </c>
      <c r="CK15" s="56">
        <f t="shared" si="81"/>
        <v>0</v>
      </c>
      <c r="CL15" s="56">
        <f t="shared" si="82"/>
        <v>0</v>
      </c>
      <c r="CM15" s="56">
        <f t="shared" si="83"/>
        <v>0</v>
      </c>
      <c r="CN15" s="56">
        <f t="shared" si="84"/>
        <v>0</v>
      </c>
      <c r="CO15" s="56">
        <f t="shared" si="85"/>
        <v>0</v>
      </c>
      <c r="CP15" s="56">
        <f t="shared" si="86"/>
        <v>0</v>
      </c>
      <c r="CQ15" s="56">
        <f t="shared" si="87"/>
        <v>0</v>
      </c>
      <c r="CR15" s="56">
        <f t="shared" si="88"/>
        <v>0</v>
      </c>
      <c r="CS15" s="56">
        <f t="shared" si="89"/>
        <v>0</v>
      </c>
      <c r="CT15" s="54"/>
      <c r="CV15" s="107" t="str">
        <f t="shared" si="90"/>
        <v/>
      </c>
      <c r="CX15" s="12">
        <f t="shared" si="91"/>
        <v>1.0000468095240218</v>
      </c>
      <c r="CY15" s="12">
        <f t="shared" si="92"/>
        <v>1</v>
      </c>
      <c r="CZ15" s="13"/>
    </row>
    <row r="16" spans="1:104" ht="16" customHeight="1">
      <c r="A16" s="4">
        <v>6</v>
      </c>
      <c r="B16" s="5" t="s">
        <v>245</v>
      </c>
      <c r="C16" s="15" t="s">
        <v>108</v>
      </c>
      <c r="D16" s="15"/>
      <c r="H16" s="20"/>
      <c r="I16" s="20"/>
      <c r="J16" s="20"/>
      <c r="K16" s="20"/>
      <c r="L16" s="20">
        <v>48.2</v>
      </c>
      <c r="M16" s="20"/>
      <c r="N16" s="20"/>
      <c r="O16" s="20"/>
      <c r="P16" s="20"/>
      <c r="Q16" s="20"/>
      <c r="R16" s="20"/>
      <c r="S16" s="9"/>
      <c r="T16" s="9"/>
      <c r="U16" s="9"/>
      <c r="V16" s="9"/>
      <c r="W16" s="9"/>
      <c r="X16" s="9">
        <v>41.43</v>
      </c>
      <c r="Y16" s="54"/>
      <c r="Z16" s="9"/>
      <c r="AA16" s="9"/>
      <c r="AB16" s="9"/>
      <c r="AC16" s="9"/>
      <c r="AD16" s="9"/>
      <c r="AE16" s="9"/>
      <c r="AF16" s="9"/>
      <c r="AG16" s="9"/>
      <c r="AH16" s="9"/>
      <c r="AI16" s="9"/>
      <c r="AJ16" s="9"/>
      <c r="AK16" s="9"/>
      <c r="AL16" s="9"/>
      <c r="AM16" s="9"/>
      <c r="AN16" s="9"/>
      <c r="AO16" s="9"/>
      <c r="AP16" s="54"/>
      <c r="AR16" s="25">
        <f t="shared" si="46"/>
        <v>89.63</v>
      </c>
      <c r="AS16" s="86"/>
      <c r="AT16" s="41">
        <f t="shared" si="47"/>
        <v>0</v>
      </c>
      <c r="AU16" s="21">
        <f t="shared" si="48"/>
        <v>0</v>
      </c>
      <c r="AV16" s="21">
        <f t="shared" si="49"/>
        <v>48.2</v>
      </c>
      <c r="AW16" s="20">
        <f t="shared" si="50"/>
        <v>0</v>
      </c>
      <c r="AX16" s="20">
        <f t="shared" si="51"/>
        <v>10.36764235264704</v>
      </c>
      <c r="AY16" s="85">
        <f t="shared" si="52"/>
        <v>99.997642352647034</v>
      </c>
      <c r="AZ16" s="85"/>
      <c r="BA16" s="45" t="s">
        <v>39</v>
      </c>
      <c r="BC16" s="84" t="s">
        <v>189</v>
      </c>
      <c r="BE16" s="50" t="s">
        <v>14</v>
      </c>
      <c r="BF16" s="83">
        <f t="shared" si="53"/>
        <v>2.5895368460528783</v>
      </c>
      <c r="BG16" s="50">
        <v>3</v>
      </c>
      <c r="BH16" s="50">
        <f t="shared" si="54"/>
        <v>0</v>
      </c>
      <c r="BI16" s="50">
        <f t="shared" si="55"/>
        <v>1</v>
      </c>
      <c r="BJ16" s="12"/>
      <c r="BK16" s="11">
        <f t="shared" si="56"/>
        <v>0</v>
      </c>
      <c r="BL16" s="11">
        <f t="shared" si="57"/>
        <v>0</v>
      </c>
      <c r="BM16" s="11">
        <f t="shared" si="58"/>
        <v>0</v>
      </c>
      <c r="BN16" s="11">
        <f t="shared" si="59"/>
        <v>0</v>
      </c>
      <c r="BO16" s="11">
        <f t="shared" si="60"/>
        <v>0.99991228177660718</v>
      </c>
      <c r="BP16" s="11">
        <f t="shared" si="61"/>
        <v>0</v>
      </c>
      <c r="BQ16" s="11">
        <f t="shared" si="62"/>
        <v>0</v>
      </c>
      <c r="BR16" s="11">
        <f t="shared" si="63"/>
        <v>0</v>
      </c>
      <c r="BS16" s="11">
        <f t="shared" si="64"/>
        <v>0</v>
      </c>
      <c r="BT16" s="11">
        <f t="shared" si="65"/>
        <v>0</v>
      </c>
      <c r="BU16" s="11">
        <f t="shared" si="66"/>
        <v>0</v>
      </c>
      <c r="BV16" s="11">
        <f t="shared" si="67"/>
        <v>0</v>
      </c>
      <c r="BW16" s="11">
        <f t="shared" si="68"/>
        <v>0</v>
      </c>
      <c r="BX16" s="56">
        <f t="shared" si="69"/>
        <v>0</v>
      </c>
      <c r="BY16" s="11">
        <f t="shared" si="70"/>
        <v>0</v>
      </c>
      <c r="BZ16" s="34">
        <f t="shared" si="71"/>
        <v>0</v>
      </c>
      <c r="CA16" s="11">
        <f t="shared" si="72"/>
        <v>0</v>
      </c>
      <c r="CB16" s="11">
        <f t="shared" si="73"/>
        <v>3</v>
      </c>
      <c r="CC16" s="54"/>
      <c r="CD16" s="56">
        <f t="shared" si="74"/>
        <v>0</v>
      </c>
      <c r="CE16" s="56">
        <f t="shared" si="75"/>
        <v>0</v>
      </c>
      <c r="CF16" s="56">
        <f t="shared" si="76"/>
        <v>0</v>
      </c>
      <c r="CG16" s="56">
        <f t="shared" si="77"/>
        <v>0</v>
      </c>
      <c r="CH16" s="56">
        <f t="shared" si="78"/>
        <v>0</v>
      </c>
      <c r="CI16" s="56">
        <f t="shared" si="79"/>
        <v>0</v>
      </c>
      <c r="CJ16" s="56">
        <f t="shared" si="80"/>
        <v>0</v>
      </c>
      <c r="CK16" s="56">
        <f t="shared" si="81"/>
        <v>0</v>
      </c>
      <c r="CL16" s="56">
        <f t="shared" si="82"/>
        <v>0</v>
      </c>
      <c r="CM16" s="56">
        <f t="shared" si="83"/>
        <v>0</v>
      </c>
      <c r="CN16" s="56">
        <f t="shared" si="84"/>
        <v>0</v>
      </c>
      <c r="CO16" s="56">
        <f t="shared" si="85"/>
        <v>0</v>
      </c>
      <c r="CP16" s="56">
        <f t="shared" si="86"/>
        <v>0</v>
      </c>
      <c r="CQ16" s="56">
        <f t="shared" si="87"/>
        <v>0</v>
      </c>
      <c r="CR16" s="56">
        <f t="shared" si="88"/>
        <v>0</v>
      </c>
      <c r="CS16" s="56">
        <f t="shared" si="89"/>
        <v>0</v>
      </c>
      <c r="CT16" s="54"/>
      <c r="CV16" s="107" t="str">
        <f t="shared" si="90"/>
        <v/>
      </c>
      <c r="CX16" s="12">
        <f t="shared" si="91"/>
        <v>0.99991228177660718</v>
      </c>
      <c r="CY16" s="12">
        <f t="shared" si="92"/>
        <v>3</v>
      </c>
      <c r="CZ16" s="13"/>
    </row>
    <row r="17" spans="1:104" ht="16" customHeight="1">
      <c r="A17" s="4">
        <v>7</v>
      </c>
      <c r="B17" s="5" t="s">
        <v>244</v>
      </c>
      <c r="C17" s="15" t="s">
        <v>108</v>
      </c>
      <c r="D17" s="15"/>
      <c r="H17" s="20"/>
      <c r="I17" s="20"/>
      <c r="J17" s="20"/>
      <c r="K17" s="20"/>
      <c r="L17" s="20">
        <v>2.88</v>
      </c>
      <c r="M17" s="20"/>
      <c r="N17" s="20"/>
      <c r="O17" s="20"/>
      <c r="P17" s="20">
        <v>64.06</v>
      </c>
      <c r="Q17" s="20"/>
      <c r="R17" s="20"/>
      <c r="S17" s="9"/>
      <c r="T17" s="9"/>
      <c r="U17" s="9">
        <v>33.06</v>
      </c>
      <c r="V17" s="9"/>
      <c r="W17" s="9"/>
      <c r="X17" s="9"/>
      <c r="Y17" s="54"/>
      <c r="Z17" s="9"/>
      <c r="AA17" s="9"/>
      <c r="AB17" s="9"/>
      <c r="AC17" s="9"/>
      <c r="AD17" s="9"/>
      <c r="AE17" s="9"/>
      <c r="AF17" s="9"/>
      <c r="AG17" s="9"/>
      <c r="AH17" s="9"/>
      <c r="AI17" s="9"/>
      <c r="AJ17" s="9"/>
      <c r="AK17" s="9"/>
      <c r="AL17" s="9"/>
      <c r="AM17" s="9"/>
      <c r="AN17" s="9"/>
      <c r="AO17" s="9"/>
      <c r="AP17" s="54"/>
      <c r="AR17" s="25">
        <f t="shared" si="46"/>
        <v>100</v>
      </c>
      <c r="AS17" s="86"/>
      <c r="AT17" s="41">
        <f t="shared" si="47"/>
        <v>0</v>
      </c>
      <c r="AU17" s="21">
        <f t="shared" si="48"/>
        <v>0</v>
      </c>
      <c r="AV17" s="21">
        <f t="shared" si="49"/>
        <v>2.88</v>
      </c>
      <c r="AW17" s="20">
        <f t="shared" si="50"/>
        <v>0</v>
      </c>
      <c r="AX17" s="20">
        <f t="shared" si="51"/>
        <v>0</v>
      </c>
      <c r="AY17" s="85">
        <f t="shared" si="52"/>
        <v>100</v>
      </c>
      <c r="AZ17" s="85"/>
      <c r="BA17" s="45" t="s">
        <v>243</v>
      </c>
      <c r="BC17" s="84" t="s">
        <v>189</v>
      </c>
      <c r="BE17" s="50" t="s">
        <v>105</v>
      </c>
      <c r="BF17" s="83">
        <f t="shared" si="53"/>
        <v>1.0310307188523313</v>
      </c>
      <c r="BG17" s="50">
        <v>1</v>
      </c>
      <c r="BH17" s="50">
        <f t="shared" si="54"/>
        <v>0</v>
      </c>
      <c r="BI17" s="50">
        <f t="shared" si="55"/>
        <v>0</v>
      </c>
      <c r="BJ17" s="12"/>
      <c r="BK17" s="11">
        <f t="shared" si="56"/>
        <v>0</v>
      </c>
      <c r="BL17" s="11">
        <f t="shared" si="57"/>
        <v>0</v>
      </c>
      <c r="BM17" s="11">
        <f t="shared" si="58"/>
        <v>0</v>
      </c>
      <c r="BN17" s="11">
        <f t="shared" si="59"/>
        <v>0</v>
      </c>
      <c r="BO17" s="11">
        <f t="shared" si="60"/>
        <v>5.0019182274505893E-2</v>
      </c>
      <c r="BP17" s="11">
        <f t="shared" si="61"/>
        <v>0</v>
      </c>
      <c r="BQ17" s="11">
        <f t="shared" si="62"/>
        <v>0</v>
      </c>
      <c r="BR17" s="11">
        <f t="shared" si="63"/>
        <v>0</v>
      </c>
      <c r="BS17" s="11">
        <f t="shared" si="64"/>
        <v>0</v>
      </c>
      <c r="BT17" s="11">
        <f t="shared" si="65"/>
        <v>0.95032118989047598</v>
      </c>
      <c r="BU17" s="11">
        <f t="shared" si="66"/>
        <v>0</v>
      </c>
      <c r="BV17" s="11">
        <f t="shared" si="67"/>
        <v>0</v>
      </c>
      <c r="BW17" s="11">
        <f t="shared" si="68"/>
        <v>0</v>
      </c>
      <c r="BX17" s="56">
        <f t="shared" si="69"/>
        <v>0</v>
      </c>
      <c r="BY17" s="11">
        <f t="shared" si="70"/>
        <v>1</v>
      </c>
      <c r="BZ17" s="34">
        <f t="shared" si="71"/>
        <v>0</v>
      </c>
      <c r="CA17" s="11">
        <f t="shared" si="72"/>
        <v>0</v>
      </c>
      <c r="CB17" s="11">
        <f t="shared" si="73"/>
        <v>0</v>
      </c>
      <c r="CC17" s="54"/>
      <c r="CD17" s="56">
        <f t="shared" si="74"/>
        <v>0</v>
      </c>
      <c r="CE17" s="56">
        <f t="shared" si="75"/>
        <v>0</v>
      </c>
      <c r="CF17" s="56">
        <f t="shared" si="76"/>
        <v>0</v>
      </c>
      <c r="CG17" s="56">
        <f t="shared" si="77"/>
        <v>0</v>
      </c>
      <c r="CH17" s="56">
        <f t="shared" si="78"/>
        <v>0</v>
      </c>
      <c r="CI17" s="56">
        <f t="shared" si="79"/>
        <v>0</v>
      </c>
      <c r="CJ17" s="56">
        <f t="shared" si="80"/>
        <v>0</v>
      </c>
      <c r="CK17" s="56">
        <f t="shared" si="81"/>
        <v>0</v>
      </c>
      <c r="CL17" s="56">
        <f t="shared" si="82"/>
        <v>0</v>
      </c>
      <c r="CM17" s="56">
        <f t="shared" si="83"/>
        <v>0</v>
      </c>
      <c r="CN17" s="56">
        <f t="shared" si="84"/>
        <v>0</v>
      </c>
      <c r="CO17" s="56">
        <f t="shared" si="85"/>
        <v>0</v>
      </c>
      <c r="CP17" s="56">
        <f t="shared" si="86"/>
        <v>0</v>
      </c>
      <c r="CQ17" s="56">
        <f t="shared" si="87"/>
        <v>0</v>
      </c>
      <c r="CR17" s="56">
        <f t="shared" si="88"/>
        <v>0</v>
      </c>
      <c r="CS17" s="56">
        <f t="shared" si="89"/>
        <v>0</v>
      </c>
      <c r="CT17" s="54"/>
      <c r="CV17" s="107" t="str">
        <f t="shared" si="90"/>
        <v/>
      </c>
      <c r="CX17" s="12">
        <f t="shared" si="91"/>
        <v>1.000340372164982</v>
      </c>
      <c r="CY17" s="12">
        <f t="shared" si="92"/>
        <v>1</v>
      </c>
      <c r="CZ17" s="13"/>
    </row>
    <row r="18" spans="1:104" ht="16" customHeight="1">
      <c r="A18" s="4">
        <v>8</v>
      </c>
      <c r="B18" s="5" t="s">
        <v>242</v>
      </c>
      <c r="C18" s="15" t="s">
        <v>108</v>
      </c>
      <c r="D18" s="15"/>
      <c r="H18" s="20"/>
      <c r="I18" s="20"/>
      <c r="J18" s="20"/>
      <c r="K18" s="20"/>
      <c r="L18" s="20"/>
      <c r="M18" s="20"/>
      <c r="N18" s="20"/>
      <c r="O18" s="20"/>
      <c r="P18" s="20"/>
      <c r="Q18" s="20">
        <v>40.04</v>
      </c>
      <c r="R18" s="20"/>
      <c r="S18" s="9"/>
      <c r="T18" s="9"/>
      <c r="U18" s="9"/>
      <c r="V18" s="9"/>
      <c r="W18" s="9"/>
      <c r="X18" s="9">
        <v>47.96</v>
      </c>
      <c r="Y18" s="54"/>
      <c r="Z18" s="9"/>
      <c r="AA18" s="9"/>
      <c r="AB18" s="9"/>
      <c r="AC18" s="9"/>
      <c r="AD18" s="9"/>
      <c r="AE18" s="9"/>
      <c r="AF18" s="9"/>
      <c r="AG18" s="9"/>
      <c r="AH18" s="9"/>
      <c r="AI18" s="9"/>
      <c r="AJ18" s="9"/>
      <c r="AK18" s="9"/>
      <c r="AL18" s="9"/>
      <c r="AM18" s="9"/>
      <c r="AN18" s="9"/>
      <c r="AO18" s="9"/>
      <c r="AP18" s="54"/>
      <c r="AR18" s="25">
        <f t="shared" si="46"/>
        <v>88</v>
      </c>
      <c r="AS18" s="86"/>
      <c r="AT18" s="41">
        <f t="shared" si="47"/>
        <v>0</v>
      </c>
      <c r="AU18" s="21">
        <f t="shared" si="48"/>
        <v>0</v>
      </c>
      <c r="AV18" s="21">
        <f t="shared" si="49"/>
        <v>0</v>
      </c>
      <c r="AW18" s="20">
        <f t="shared" si="50"/>
        <v>0</v>
      </c>
      <c r="AX18" s="20">
        <f t="shared" si="51"/>
        <v>12.001740942142218</v>
      </c>
      <c r="AY18" s="85">
        <f t="shared" si="52"/>
        <v>100.00174094214222</v>
      </c>
      <c r="AZ18" s="85"/>
      <c r="BA18" s="45" t="s">
        <v>39</v>
      </c>
      <c r="BC18" s="84" t="s">
        <v>189</v>
      </c>
      <c r="BE18" s="50" t="s">
        <v>14</v>
      </c>
      <c r="BF18" s="83">
        <f t="shared" si="53"/>
        <v>2.9976873554597163</v>
      </c>
      <c r="BG18" s="50">
        <v>3</v>
      </c>
      <c r="BH18" s="50">
        <f t="shared" si="54"/>
        <v>0</v>
      </c>
      <c r="BI18" s="50">
        <f t="shared" si="55"/>
        <v>1</v>
      </c>
      <c r="BJ18" s="12"/>
      <c r="BK18" s="11">
        <f t="shared" si="56"/>
        <v>0</v>
      </c>
      <c r="BL18" s="11">
        <f t="shared" si="57"/>
        <v>0</v>
      </c>
      <c r="BM18" s="11">
        <f t="shared" si="58"/>
        <v>0</v>
      </c>
      <c r="BN18" s="11">
        <f t="shared" si="59"/>
        <v>0</v>
      </c>
      <c r="BO18" s="11">
        <f t="shared" si="60"/>
        <v>0</v>
      </c>
      <c r="BP18" s="11">
        <f t="shared" si="61"/>
        <v>0</v>
      </c>
      <c r="BQ18" s="11">
        <f t="shared" si="62"/>
        <v>0</v>
      </c>
      <c r="BR18" s="11">
        <f t="shared" si="63"/>
        <v>0</v>
      </c>
      <c r="BS18" s="11">
        <f t="shared" si="64"/>
        <v>0</v>
      </c>
      <c r="BT18" s="11">
        <f t="shared" si="65"/>
        <v>0</v>
      </c>
      <c r="BU18" s="11">
        <f t="shared" si="66"/>
        <v>0.99982259364880666</v>
      </c>
      <c r="BV18" s="11">
        <f t="shared" si="67"/>
        <v>0</v>
      </c>
      <c r="BW18" s="11">
        <f t="shared" si="68"/>
        <v>0</v>
      </c>
      <c r="BX18" s="56">
        <f t="shared" si="69"/>
        <v>0</v>
      </c>
      <c r="BY18" s="11">
        <f t="shared" si="70"/>
        <v>0</v>
      </c>
      <c r="BZ18" s="34">
        <f t="shared" si="71"/>
        <v>0</v>
      </c>
      <c r="CA18" s="11">
        <f t="shared" si="72"/>
        <v>0</v>
      </c>
      <c r="CB18" s="11">
        <f t="shared" si="73"/>
        <v>3</v>
      </c>
      <c r="CC18" s="54"/>
      <c r="CD18" s="56">
        <f t="shared" si="74"/>
        <v>0</v>
      </c>
      <c r="CE18" s="56">
        <f t="shared" si="75"/>
        <v>0</v>
      </c>
      <c r="CF18" s="56">
        <f t="shared" si="76"/>
        <v>0</v>
      </c>
      <c r="CG18" s="56">
        <f t="shared" si="77"/>
        <v>0</v>
      </c>
      <c r="CH18" s="56">
        <f t="shared" si="78"/>
        <v>0</v>
      </c>
      <c r="CI18" s="56">
        <f t="shared" si="79"/>
        <v>0</v>
      </c>
      <c r="CJ18" s="56">
        <f t="shared" si="80"/>
        <v>0</v>
      </c>
      <c r="CK18" s="56">
        <f t="shared" si="81"/>
        <v>0</v>
      </c>
      <c r="CL18" s="56">
        <f t="shared" si="82"/>
        <v>0</v>
      </c>
      <c r="CM18" s="56">
        <f t="shared" si="83"/>
        <v>0</v>
      </c>
      <c r="CN18" s="56">
        <f t="shared" si="84"/>
        <v>0</v>
      </c>
      <c r="CO18" s="56">
        <f t="shared" si="85"/>
        <v>0</v>
      </c>
      <c r="CP18" s="56">
        <f t="shared" si="86"/>
        <v>0</v>
      </c>
      <c r="CQ18" s="56">
        <f t="shared" si="87"/>
        <v>0</v>
      </c>
      <c r="CR18" s="56">
        <f t="shared" si="88"/>
        <v>0</v>
      </c>
      <c r="CS18" s="56">
        <f t="shared" si="89"/>
        <v>0</v>
      </c>
      <c r="CT18" s="54"/>
      <c r="CV18" s="107" t="str">
        <f t="shared" si="90"/>
        <v/>
      </c>
      <c r="CX18" s="12">
        <f t="shared" si="91"/>
        <v>0.99982259364880666</v>
      </c>
      <c r="CY18" s="12">
        <f t="shared" si="92"/>
        <v>3</v>
      </c>
      <c r="CZ18" s="13"/>
    </row>
    <row r="19" spans="1:104" ht="16" customHeight="1">
      <c r="A19" s="4">
        <v>9</v>
      </c>
      <c r="B19" s="17" t="s">
        <v>241</v>
      </c>
      <c r="C19" s="15" t="s">
        <v>108</v>
      </c>
      <c r="D19" s="15"/>
      <c r="H19" s="20"/>
      <c r="I19" s="20"/>
      <c r="J19" s="20"/>
      <c r="K19" s="20"/>
      <c r="L19" s="20"/>
      <c r="M19" s="20"/>
      <c r="N19" s="20"/>
      <c r="O19" s="20"/>
      <c r="P19" s="20"/>
      <c r="Q19" s="20">
        <v>40.04</v>
      </c>
      <c r="R19" s="20"/>
      <c r="S19" s="9"/>
      <c r="T19" s="9"/>
      <c r="U19" s="9"/>
      <c r="V19" s="9"/>
      <c r="W19" s="9"/>
      <c r="X19" s="9">
        <v>47.96</v>
      </c>
      <c r="Y19" s="54"/>
      <c r="Z19" s="9"/>
      <c r="AA19" s="9"/>
      <c r="AB19" s="9"/>
      <c r="AC19" s="9"/>
      <c r="AD19" s="9"/>
      <c r="AE19" s="9"/>
      <c r="AF19" s="9"/>
      <c r="AG19" s="9"/>
      <c r="AH19" s="9"/>
      <c r="AI19" s="9"/>
      <c r="AJ19" s="9"/>
      <c r="AK19" s="9"/>
      <c r="AL19" s="9"/>
      <c r="AM19" s="9"/>
      <c r="AN19" s="9"/>
      <c r="AO19" s="9"/>
      <c r="AP19" s="54"/>
      <c r="AR19" s="25">
        <f t="shared" si="46"/>
        <v>88</v>
      </c>
      <c r="AS19" s="86"/>
      <c r="AT19" s="41">
        <f t="shared" si="47"/>
        <v>0</v>
      </c>
      <c r="AU19" s="21">
        <f t="shared" si="48"/>
        <v>0</v>
      </c>
      <c r="AV19" s="21">
        <f t="shared" si="49"/>
        <v>0</v>
      </c>
      <c r="AW19" s="20">
        <f t="shared" si="50"/>
        <v>0</v>
      </c>
      <c r="AX19" s="20">
        <f t="shared" si="51"/>
        <v>12.001740942142218</v>
      </c>
      <c r="AY19" s="85">
        <f t="shared" si="52"/>
        <v>100.00174094214222</v>
      </c>
      <c r="AZ19" s="85"/>
      <c r="BA19" s="45" t="s">
        <v>39</v>
      </c>
      <c r="BC19" s="84" t="s">
        <v>189</v>
      </c>
      <c r="BE19" s="50" t="s">
        <v>14</v>
      </c>
      <c r="BF19" s="83">
        <f t="shared" si="53"/>
        <v>2.9976873554597163</v>
      </c>
      <c r="BG19" s="50">
        <v>3</v>
      </c>
      <c r="BH19" s="50">
        <f t="shared" si="54"/>
        <v>0</v>
      </c>
      <c r="BI19" s="50">
        <f t="shared" si="55"/>
        <v>1</v>
      </c>
      <c r="BJ19" s="12"/>
      <c r="BK19" s="11">
        <f t="shared" si="56"/>
        <v>0</v>
      </c>
      <c r="BL19" s="11">
        <f t="shared" si="57"/>
        <v>0</v>
      </c>
      <c r="BM19" s="11">
        <f t="shared" si="58"/>
        <v>0</v>
      </c>
      <c r="BN19" s="11">
        <f t="shared" si="59"/>
        <v>0</v>
      </c>
      <c r="BO19" s="11">
        <f t="shared" si="60"/>
        <v>0</v>
      </c>
      <c r="BP19" s="11">
        <f t="shared" si="61"/>
        <v>0</v>
      </c>
      <c r="BQ19" s="11">
        <f t="shared" si="62"/>
        <v>0</v>
      </c>
      <c r="BR19" s="11">
        <f t="shared" si="63"/>
        <v>0</v>
      </c>
      <c r="BS19" s="11">
        <f t="shared" si="64"/>
        <v>0</v>
      </c>
      <c r="BT19" s="11">
        <f t="shared" si="65"/>
        <v>0</v>
      </c>
      <c r="BU19" s="11">
        <f t="shared" si="66"/>
        <v>0.99982259364880666</v>
      </c>
      <c r="BV19" s="11">
        <f t="shared" si="67"/>
        <v>0</v>
      </c>
      <c r="BW19" s="11">
        <f t="shared" si="68"/>
        <v>0</v>
      </c>
      <c r="BX19" s="56">
        <f t="shared" si="69"/>
        <v>0</v>
      </c>
      <c r="BY19" s="11">
        <f t="shared" si="70"/>
        <v>0</v>
      </c>
      <c r="BZ19" s="34">
        <f t="shared" si="71"/>
        <v>0</v>
      </c>
      <c r="CA19" s="11">
        <f t="shared" si="72"/>
        <v>0</v>
      </c>
      <c r="CB19" s="11">
        <f t="shared" si="73"/>
        <v>3</v>
      </c>
      <c r="CC19" s="54"/>
      <c r="CD19" s="56">
        <f t="shared" si="74"/>
        <v>0</v>
      </c>
      <c r="CE19" s="56">
        <f t="shared" si="75"/>
        <v>0</v>
      </c>
      <c r="CF19" s="56">
        <f t="shared" si="76"/>
        <v>0</v>
      </c>
      <c r="CG19" s="56">
        <f t="shared" si="77"/>
        <v>0</v>
      </c>
      <c r="CH19" s="56">
        <f t="shared" si="78"/>
        <v>0</v>
      </c>
      <c r="CI19" s="56">
        <f t="shared" si="79"/>
        <v>0</v>
      </c>
      <c r="CJ19" s="56">
        <f t="shared" si="80"/>
        <v>0</v>
      </c>
      <c r="CK19" s="56">
        <f t="shared" si="81"/>
        <v>0</v>
      </c>
      <c r="CL19" s="56">
        <f t="shared" si="82"/>
        <v>0</v>
      </c>
      <c r="CM19" s="56">
        <f t="shared" si="83"/>
        <v>0</v>
      </c>
      <c r="CN19" s="56">
        <f t="shared" si="84"/>
        <v>0</v>
      </c>
      <c r="CO19" s="56">
        <f t="shared" si="85"/>
        <v>0</v>
      </c>
      <c r="CP19" s="56">
        <f t="shared" si="86"/>
        <v>0</v>
      </c>
      <c r="CQ19" s="56">
        <f t="shared" si="87"/>
        <v>0</v>
      </c>
      <c r="CR19" s="56">
        <f t="shared" si="88"/>
        <v>0</v>
      </c>
      <c r="CS19" s="56">
        <f t="shared" si="89"/>
        <v>0</v>
      </c>
      <c r="CT19" s="54"/>
      <c r="CV19" s="107" t="str">
        <f t="shared" si="90"/>
        <v/>
      </c>
      <c r="CX19" s="12">
        <f t="shared" si="91"/>
        <v>0.99982259364880666</v>
      </c>
      <c r="CY19" s="12">
        <f t="shared" si="92"/>
        <v>3</v>
      </c>
      <c r="CZ19" s="13"/>
    </row>
    <row r="20" spans="1:104" ht="16" customHeight="1">
      <c r="A20" s="4">
        <v>10</v>
      </c>
      <c r="B20" s="5" t="s">
        <v>240</v>
      </c>
      <c r="C20" s="15" t="s">
        <v>108</v>
      </c>
      <c r="D20" s="15"/>
      <c r="H20" s="20"/>
      <c r="I20" s="20"/>
      <c r="J20" s="20"/>
      <c r="K20" s="20"/>
      <c r="L20" s="20"/>
      <c r="M20" s="20"/>
      <c r="N20" s="20"/>
      <c r="O20" s="20"/>
      <c r="P20" s="20"/>
      <c r="Q20" s="20"/>
      <c r="R20" s="20"/>
      <c r="S20" s="9"/>
      <c r="T20" s="9"/>
      <c r="U20" s="9">
        <v>13.74</v>
      </c>
      <c r="V20" s="9"/>
      <c r="W20" s="9"/>
      <c r="X20" s="9">
        <v>27.42</v>
      </c>
      <c r="Y20" s="54"/>
      <c r="Z20" s="9"/>
      <c r="AA20" s="9"/>
      <c r="AB20" s="9"/>
      <c r="AC20" s="9">
        <v>58.84</v>
      </c>
      <c r="AD20" s="9"/>
      <c r="AE20" s="9"/>
      <c r="AF20" s="9"/>
      <c r="AG20" s="9"/>
      <c r="AH20" s="9"/>
      <c r="AI20" s="9"/>
      <c r="AJ20" s="9"/>
      <c r="AK20" s="9"/>
      <c r="AL20" s="9"/>
      <c r="AM20" s="9"/>
      <c r="AN20" s="9"/>
      <c r="AO20" s="9"/>
      <c r="AP20" s="54"/>
      <c r="AR20" s="25">
        <f t="shared" si="46"/>
        <v>100</v>
      </c>
      <c r="AS20" s="86"/>
      <c r="AT20" s="41">
        <f t="shared" si="47"/>
        <v>0</v>
      </c>
      <c r="AU20" s="21">
        <f t="shared" si="48"/>
        <v>0</v>
      </c>
      <c r="AV20" s="21">
        <f t="shared" si="49"/>
        <v>0</v>
      </c>
      <c r="AW20" s="20">
        <f t="shared" si="50"/>
        <v>0</v>
      </c>
      <c r="AX20" s="20">
        <f t="shared" si="51"/>
        <v>0</v>
      </c>
      <c r="AY20" s="85">
        <f t="shared" si="52"/>
        <v>100</v>
      </c>
      <c r="AZ20" s="85"/>
      <c r="BA20" s="45" t="s">
        <v>239</v>
      </c>
      <c r="BC20" s="84" t="s">
        <v>189</v>
      </c>
      <c r="BE20" s="50" t="s">
        <v>14</v>
      </c>
      <c r="BF20" s="83">
        <f t="shared" si="53"/>
        <v>1.7138571160697544</v>
      </c>
      <c r="BG20" s="50">
        <v>4</v>
      </c>
      <c r="BH20" s="50">
        <f t="shared" si="54"/>
        <v>0</v>
      </c>
      <c r="BI20" s="50">
        <f t="shared" si="55"/>
        <v>0</v>
      </c>
      <c r="BJ20" s="12"/>
      <c r="BK20" s="11">
        <f t="shared" si="56"/>
        <v>0</v>
      </c>
      <c r="BL20" s="11">
        <f t="shared" si="57"/>
        <v>0</v>
      </c>
      <c r="BM20" s="11">
        <f t="shared" si="58"/>
        <v>0</v>
      </c>
      <c r="BN20" s="11">
        <f t="shared" si="59"/>
        <v>0</v>
      </c>
      <c r="BO20" s="11">
        <f t="shared" si="60"/>
        <v>0</v>
      </c>
      <c r="BP20" s="11">
        <f t="shared" si="61"/>
        <v>0</v>
      </c>
      <c r="BQ20" s="11">
        <f t="shared" si="62"/>
        <v>0</v>
      </c>
      <c r="BR20" s="11">
        <f t="shared" si="63"/>
        <v>0</v>
      </c>
      <c r="BS20" s="11">
        <f t="shared" si="64"/>
        <v>0</v>
      </c>
      <c r="BT20" s="11">
        <f t="shared" si="65"/>
        <v>0</v>
      </c>
      <c r="BU20" s="11">
        <f t="shared" si="66"/>
        <v>0</v>
      </c>
      <c r="BV20" s="11">
        <f t="shared" si="67"/>
        <v>0</v>
      </c>
      <c r="BW20" s="11">
        <f t="shared" si="68"/>
        <v>0</v>
      </c>
      <c r="BX20" s="56">
        <f t="shared" si="69"/>
        <v>0</v>
      </c>
      <c r="BY20" s="11">
        <f t="shared" si="70"/>
        <v>1.0000941058933559</v>
      </c>
      <c r="BZ20" s="34">
        <f t="shared" si="71"/>
        <v>0</v>
      </c>
      <c r="CA20" s="11">
        <f t="shared" si="72"/>
        <v>0</v>
      </c>
      <c r="CB20" s="11">
        <f t="shared" si="73"/>
        <v>4</v>
      </c>
      <c r="CC20" s="54"/>
      <c r="CD20" s="56">
        <f t="shared" si="74"/>
        <v>0</v>
      </c>
      <c r="CE20" s="56">
        <f t="shared" si="75"/>
        <v>0</v>
      </c>
      <c r="CF20" s="56">
        <f t="shared" si="76"/>
        <v>0</v>
      </c>
      <c r="CG20" s="56">
        <f t="shared" si="77"/>
        <v>1.0000048599041798</v>
      </c>
      <c r="CH20" s="56">
        <f t="shared" si="78"/>
        <v>0</v>
      </c>
      <c r="CI20" s="56">
        <f t="shared" si="79"/>
        <v>0</v>
      </c>
      <c r="CJ20" s="56">
        <f t="shared" si="80"/>
        <v>0</v>
      </c>
      <c r="CK20" s="56">
        <f t="shared" si="81"/>
        <v>0</v>
      </c>
      <c r="CL20" s="56">
        <f t="shared" si="82"/>
        <v>0</v>
      </c>
      <c r="CM20" s="56">
        <f t="shared" si="83"/>
        <v>0</v>
      </c>
      <c r="CN20" s="56">
        <f t="shared" si="84"/>
        <v>0</v>
      </c>
      <c r="CO20" s="56">
        <f t="shared" si="85"/>
        <v>0</v>
      </c>
      <c r="CP20" s="56">
        <f t="shared" si="86"/>
        <v>0</v>
      </c>
      <c r="CQ20" s="56">
        <f t="shared" si="87"/>
        <v>0</v>
      </c>
      <c r="CR20" s="56">
        <f t="shared" si="88"/>
        <v>0</v>
      </c>
      <c r="CS20" s="56">
        <f t="shared" si="89"/>
        <v>0</v>
      </c>
      <c r="CT20" s="54"/>
      <c r="CV20" s="107" t="str">
        <f t="shared" si="90"/>
        <v/>
      </c>
      <c r="CX20" s="12">
        <f t="shared" si="91"/>
        <v>1.0000048599041798</v>
      </c>
      <c r="CY20" s="12">
        <f t="shared" si="92"/>
        <v>5.0000941058933561</v>
      </c>
      <c r="CZ20" s="13"/>
    </row>
    <row r="21" spans="1:104" ht="16" customHeight="1">
      <c r="A21" s="4">
        <v>11</v>
      </c>
      <c r="B21" s="5" t="s">
        <v>238</v>
      </c>
      <c r="C21" s="15" t="s">
        <v>108</v>
      </c>
      <c r="D21" s="15"/>
      <c r="H21" s="20">
        <v>20.38</v>
      </c>
      <c r="I21" s="20">
        <v>11.58</v>
      </c>
      <c r="J21" s="20"/>
      <c r="K21" s="20"/>
      <c r="L21" s="20"/>
      <c r="M21" s="20"/>
      <c r="N21" s="20"/>
      <c r="O21" s="20"/>
      <c r="P21" s="20"/>
      <c r="Q21" s="20"/>
      <c r="R21" s="20"/>
      <c r="U21" s="9"/>
      <c r="V21" s="9"/>
      <c r="W21" s="9"/>
      <c r="X21" s="9">
        <v>34.83</v>
      </c>
      <c r="Z21" s="9"/>
      <c r="AA21" s="9"/>
      <c r="AB21" s="9"/>
      <c r="AC21" s="9">
        <v>33.21</v>
      </c>
      <c r="AD21" s="9"/>
      <c r="AE21" s="9"/>
      <c r="AF21" s="9"/>
      <c r="AG21" s="9"/>
      <c r="AH21" s="9"/>
      <c r="AI21" s="9"/>
      <c r="AJ21" s="9"/>
      <c r="AK21" s="9"/>
      <c r="AL21" s="9"/>
      <c r="AM21" s="9"/>
      <c r="AN21" s="9"/>
      <c r="AO21" s="9"/>
      <c r="AR21" s="25">
        <f t="shared" si="46"/>
        <v>100</v>
      </c>
      <c r="AS21" s="86"/>
      <c r="AT21" s="41">
        <f t="shared" si="47"/>
        <v>0</v>
      </c>
      <c r="AU21" s="21">
        <f t="shared" si="48"/>
        <v>0</v>
      </c>
      <c r="AV21" s="21">
        <f t="shared" si="49"/>
        <v>0</v>
      </c>
      <c r="AW21" s="20">
        <f t="shared" si="50"/>
        <v>0</v>
      </c>
      <c r="AX21" s="20">
        <f t="shared" si="51"/>
        <v>0</v>
      </c>
      <c r="AY21" s="85">
        <f t="shared" si="52"/>
        <v>100</v>
      </c>
      <c r="AZ21" s="85"/>
      <c r="BA21" s="45" t="s">
        <v>237</v>
      </c>
      <c r="BC21" s="84" t="s">
        <v>189</v>
      </c>
      <c r="BE21" s="50" t="s">
        <v>14</v>
      </c>
      <c r="BF21" s="83">
        <f t="shared" si="53"/>
        <v>2.1770110631914492</v>
      </c>
      <c r="BG21" s="50">
        <v>9</v>
      </c>
      <c r="BH21" s="50">
        <f t="shared" si="54"/>
        <v>0</v>
      </c>
      <c r="BI21" s="50">
        <f t="shared" si="55"/>
        <v>0</v>
      </c>
      <c r="BJ21" s="12"/>
      <c r="BK21" s="11">
        <f t="shared" si="56"/>
        <v>2.9998800727402308</v>
      </c>
      <c r="BL21" s="11">
        <f t="shared" si="57"/>
        <v>1.0001248614742111</v>
      </c>
      <c r="BM21" s="11">
        <f t="shared" si="58"/>
        <v>0</v>
      </c>
      <c r="BN21" s="11">
        <f t="shared" si="59"/>
        <v>0</v>
      </c>
      <c r="BO21" s="11">
        <f t="shared" si="60"/>
        <v>0</v>
      </c>
      <c r="BP21" s="11">
        <f t="shared" si="61"/>
        <v>0</v>
      </c>
      <c r="BQ21" s="11">
        <f t="shared" si="62"/>
        <v>0</v>
      </c>
      <c r="BR21" s="11">
        <f t="shared" si="63"/>
        <v>0</v>
      </c>
      <c r="BS21" s="11">
        <f t="shared" si="64"/>
        <v>0</v>
      </c>
      <c r="BT21" s="11">
        <f t="shared" si="65"/>
        <v>0</v>
      </c>
      <c r="BU21" s="11">
        <f t="shared" si="66"/>
        <v>0</v>
      </c>
      <c r="BV21" s="11">
        <f t="shared" si="67"/>
        <v>0</v>
      </c>
      <c r="BW21" s="11">
        <f t="shared" si="68"/>
        <v>0</v>
      </c>
      <c r="BX21" s="56">
        <f t="shared" si="69"/>
        <v>0</v>
      </c>
      <c r="BY21" s="11">
        <f t="shared" si="70"/>
        <v>0</v>
      </c>
      <c r="BZ21" s="34">
        <f t="shared" si="71"/>
        <v>0</v>
      </c>
      <c r="CA21" s="11">
        <f t="shared" si="72"/>
        <v>0</v>
      </c>
      <c r="CB21" s="11">
        <f t="shared" si="73"/>
        <v>9</v>
      </c>
      <c r="CC21" s="54"/>
      <c r="CD21" s="56">
        <f t="shared" si="74"/>
        <v>0</v>
      </c>
      <c r="CE21" s="56">
        <f t="shared" si="75"/>
        <v>0</v>
      </c>
      <c r="CF21" s="56">
        <f t="shared" si="76"/>
        <v>0</v>
      </c>
      <c r="CG21" s="56">
        <f t="shared" si="77"/>
        <v>0.99975783484709146</v>
      </c>
      <c r="CH21" s="56">
        <f t="shared" si="78"/>
        <v>0</v>
      </c>
      <c r="CI21" s="56">
        <f t="shared" si="79"/>
        <v>0</v>
      </c>
      <c r="CJ21" s="56">
        <f t="shared" si="80"/>
        <v>0</v>
      </c>
      <c r="CK21" s="56">
        <f t="shared" si="81"/>
        <v>0</v>
      </c>
      <c r="CL21" s="56">
        <f t="shared" si="82"/>
        <v>0</v>
      </c>
      <c r="CM21" s="56">
        <f t="shared" si="83"/>
        <v>0</v>
      </c>
      <c r="CN21" s="56">
        <f t="shared" si="84"/>
        <v>0</v>
      </c>
      <c r="CO21" s="56">
        <f t="shared" si="85"/>
        <v>0</v>
      </c>
      <c r="CP21" s="56">
        <f t="shared" si="86"/>
        <v>0</v>
      </c>
      <c r="CQ21" s="56">
        <f t="shared" si="87"/>
        <v>0</v>
      </c>
      <c r="CR21" s="56">
        <f t="shared" si="88"/>
        <v>0</v>
      </c>
      <c r="CS21" s="56">
        <f t="shared" si="89"/>
        <v>0</v>
      </c>
      <c r="CT21" s="54"/>
      <c r="CV21" s="107" t="str">
        <f t="shared" si="90"/>
        <v/>
      </c>
      <c r="CX21" s="12">
        <f t="shared" si="91"/>
        <v>4.9997627690615332</v>
      </c>
      <c r="CY21" s="12">
        <f t="shared" si="92"/>
        <v>9</v>
      </c>
    </row>
    <row r="22" spans="1:104" ht="16" customHeight="1">
      <c r="A22" s="4">
        <v>12</v>
      </c>
      <c r="B22" s="17" t="s">
        <v>107</v>
      </c>
      <c r="C22" s="15" t="s">
        <v>108</v>
      </c>
      <c r="D22" s="15"/>
      <c r="E22" s="89"/>
      <c r="F22" s="89"/>
      <c r="G22" s="89"/>
      <c r="H22" s="9"/>
      <c r="I22" s="9"/>
      <c r="J22" s="9"/>
      <c r="K22" s="9"/>
      <c r="L22" s="9"/>
      <c r="M22" s="9"/>
      <c r="N22" s="9"/>
      <c r="O22" s="9"/>
      <c r="P22" s="9"/>
      <c r="Q22" s="9">
        <v>51.33</v>
      </c>
      <c r="R22" s="9"/>
      <c r="S22" s="9"/>
      <c r="T22" s="9"/>
      <c r="U22" s="9"/>
      <c r="V22" s="9">
        <v>48.67</v>
      </c>
      <c r="W22" s="9"/>
      <c r="X22" s="9"/>
      <c r="Y22" s="54"/>
      <c r="Z22" s="9"/>
      <c r="AA22" s="9"/>
      <c r="AB22" s="9"/>
      <c r="AC22" s="9"/>
      <c r="AD22" s="9"/>
      <c r="AE22" s="9"/>
      <c r="AF22" s="9"/>
      <c r="AG22" s="9"/>
      <c r="AH22" s="9"/>
      <c r="AI22" s="9"/>
      <c r="AJ22" s="9"/>
      <c r="AK22" s="9"/>
      <c r="AL22" s="9"/>
      <c r="AM22" s="9"/>
      <c r="AN22" s="9"/>
      <c r="AO22" s="9"/>
      <c r="AP22" s="54"/>
      <c r="AR22" s="25">
        <f t="shared" si="46"/>
        <v>100</v>
      </c>
      <c r="AS22" s="86"/>
      <c r="AT22" s="41">
        <f t="shared" si="47"/>
        <v>0</v>
      </c>
      <c r="AU22" s="21">
        <f t="shared" si="48"/>
        <v>0</v>
      </c>
      <c r="AV22" s="21">
        <f t="shared" si="49"/>
        <v>0</v>
      </c>
      <c r="AW22" s="20">
        <f t="shared" si="50"/>
        <v>0</v>
      </c>
      <c r="AX22" s="20">
        <f t="shared" si="51"/>
        <v>0</v>
      </c>
      <c r="AY22" s="85">
        <f t="shared" si="52"/>
        <v>100</v>
      </c>
      <c r="AZ22" s="85"/>
      <c r="BA22" s="45" t="s">
        <v>107</v>
      </c>
      <c r="BC22" s="84" t="s">
        <v>189</v>
      </c>
      <c r="BE22" s="50" t="s">
        <v>65</v>
      </c>
      <c r="BF22" s="83">
        <f t="shared" si="53"/>
        <v>2.561794272918624</v>
      </c>
      <c r="BG22" s="50">
        <v>2</v>
      </c>
      <c r="BH22" s="50">
        <f t="shared" si="54"/>
        <v>0</v>
      </c>
      <c r="BI22" s="50">
        <f t="shared" si="55"/>
        <v>0</v>
      </c>
      <c r="BJ22" s="12"/>
      <c r="BK22" s="11">
        <f t="shared" si="56"/>
        <v>0</v>
      </c>
      <c r="BL22" s="11">
        <f t="shared" si="57"/>
        <v>0</v>
      </c>
      <c r="BM22" s="11">
        <f t="shared" si="58"/>
        <v>0</v>
      </c>
      <c r="BN22" s="11">
        <f t="shared" si="59"/>
        <v>0</v>
      </c>
      <c r="BO22" s="11">
        <f t="shared" si="60"/>
        <v>0</v>
      </c>
      <c r="BP22" s="11">
        <f t="shared" si="61"/>
        <v>0</v>
      </c>
      <c r="BQ22" s="11">
        <f t="shared" si="62"/>
        <v>0</v>
      </c>
      <c r="BR22" s="11">
        <f t="shared" si="63"/>
        <v>0</v>
      </c>
      <c r="BS22" s="11">
        <f t="shared" si="64"/>
        <v>0</v>
      </c>
      <c r="BT22" s="11">
        <f t="shared" si="65"/>
        <v>0</v>
      </c>
      <c r="BU22" s="11">
        <f t="shared" si="66"/>
        <v>0.99988710732994002</v>
      </c>
      <c r="BV22" s="11">
        <f t="shared" si="67"/>
        <v>0</v>
      </c>
      <c r="BW22" s="11">
        <f t="shared" si="68"/>
        <v>0</v>
      </c>
      <c r="BX22" s="56">
        <f t="shared" si="69"/>
        <v>0</v>
      </c>
      <c r="BY22" s="11">
        <f t="shared" si="70"/>
        <v>0</v>
      </c>
      <c r="BZ22" s="34">
        <f t="shared" si="71"/>
        <v>2.0000003158160684</v>
      </c>
      <c r="CA22" s="11">
        <f t="shared" si="72"/>
        <v>0</v>
      </c>
      <c r="CB22" s="11">
        <f t="shared" si="73"/>
        <v>0</v>
      </c>
      <c r="CC22" s="54"/>
      <c r="CD22" s="56">
        <f t="shared" si="74"/>
        <v>0</v>
      </c>
      <c r="CE22" s="56">
        <f t="shared" si="75"/>
        <v>0</v>
      </c>
      <c r="CF22" s="56">
        <f t="shared" si="76"/>
        <v>0</v>
      </c>
      <c r="CG22" s="56">
        <f t="shared" si="77"/>
        <v>0</v>
      </c>
      <c r="CH22" s="56">
        <f t="shared" si="78"/>
        <v>0</v>
      </c>
      <c r="CI22" s="56">
        <f t="shared" si="79"/>
        <v>0</v>
      </c>
      <c r="CJ22" s="56">
        <f t="shared" si="80"/>
        <v>0</v>
      </c>
      <c r="CK22" s="56">
        <f t="shared" si="81"/>
        <v>0</v>
      </c>
      <c r="CL22" s="56">
        <f t="shared" si="82"/>
        <v>0</v>
      </c>
      <c r="CM22" s="56">
        <f t="shared" si="83"/>
        <v>0</v>
      </c>
      <c r="CN22" s="56">
        <f t="shared" si="84"/>
        <v>0</v>
      </c>
      <c r="CO22" s="56">
        <f t="shared" si="85"/>
        <v>0</v>
      </c>
      <c r="CP22" s="56">
        <f t="shared" si="86"/>
        <v>0</v>
      </c>
      <c r="CQ22" s="56">
        <f t="shared" si="87"/>
        <v>0</v>
      </c>
      <c r="CR22" s="56">
        <f t="shared" si="88"/>
        <v>0</v>
      </c>
      <c r="CS22" s="56">
        <f t="shared" si="89"/>
        <v>0</v>
      </c>
      <c r="CT22" s="54"/>
      <c r="CV22" s="107" t="str">
        <f t="shared" si="90"/>
        <v/>
      </c>
      <c r="CX22" s="12">
        <f t="shared" si="91"/>
        <v>0.99988710732994002</v>
      </c>
      <c r="CY22" s="12">
        <f t="shared" si="92"/>
        <v>2.0000003158160684</v>
      </c>
    </row>
    <row r="23" spans="1:104" ht="16" customHeight="1">
      <c r="A23" s="4">
        <v>13</v>
      </c>
      <c r="B23" s="5" t="s">
        <v>236</v>
      </c>
      <c r="C23" s="15" t="s">
        <v>108</v>
      </c>
      <c r="D23" s="15"/>
      <c r="H23" s="20"/>
      <c r="I23" s="20"/>
      <c r="J23" s="20"/>
      <c r="K23" s="20"/>
      <c r="L23" s="20"/>
      <c r="M23" s="20"/>
      <c r="N23" s="20">
        <v>13.18</v>
      </c>
      <c r="O23" s="20"/>
      <c r="P23" s="20"/>
      <c r="Q23" s="20">
        <v>21.73</v>
      </c>
      <c r="R23" s="20"/>
      <c r="S23" s="9"/>
      <c r="T23" s="9"/>
      <c r="U23" s="9"/>
      <c r="V23" s="9"/>
      <c r="W23" s="9"/>
      <c r="X23" s="9">
        <v>52.06</v>
      </c>
      <c r="Y23" s="54"/>
      <c r="Z23" s="9"/>
      <c r="AA23" s="9"/>
      <c r="AB23" s="9"/>
      <c r="AC23" s="9"/>
      <c r="AD23" s="9"/>
      <c r="AE23" s="9"/>
      <c r="AF23" s="9"/>
      <c r="AG23" s="9"/>
      <c r="AH23" s="9"/>
      <c r="AI23" s="9"/>
      <c r="AJ23" s="9"/>
      <c r="AK23" s="9"/>
      <c r="AL23" s="9"/>
      <c r="AM23" s="9"/>
      <c r="AN23" s="9"/>
      <c r="AO23" s="9"/>
      <c r="AP23" s="54"/>
      <c r="AR23" s="25">
        <f t="shared" si="46"/>
        <v>86.97</v>
      </c>
      <c r="AS23" s="86"/>
      <c r="AT23" s="41">
        <f t="shared" si="47"/>
        <v>0</v>
      </c>
      <c r="AU23" s="21">
        <f t="shared" si="48"/>
        <v>0</v>
      </c>
      <c r="AV23" s="21">
        <f t="shared" si="49"/>
        <v>0</v>
      </c>
      <c r="AW23" s="20">
        <f t="shared" si="50"/>
        <v>0</v>
      </c>
      <c r="AX23" s="20">
        <f t="shared" si="51"/>
        <v>13.027744650707334</v>
      </c>
      <c r="AY23" s="85">
        <f t="shared" si="52"/>
        <v>99.997744650707332</v>
      </c>
      <c r="AZ23" s="85"/>
      <c r="BA23" s="45" t="s">
        <v>40</v>
      </c>
      <c r="BC23" s="84" t="s">
        <v>189</v>
      </c>
      <c r="BE23" s="50" t="s">
        <v>14</v>
      </c>
      <c r="BF23" s="83">
        <f t="shared" si="53"/>
        <v>3.2539533720857552</v>
      </c>
      <c r="BG23" s="50">
        <v>6</v>
      </c>
      <c r="BH23" s="50">
        <f t="shared" si="54"/>
        <v>0</v>
      </c>
      <c r="BI23" s="50">
        <f t="shared" si="55"/>
        <v>2</v>
      </c>
      <c r="BJ23" s="12"/>
      <c r="BK23" s="11">
        <f t="shared" si="56"/>
        <v>0</v>
      </c>
      <c r="BL23" s="11">
        <f t="shared" si="57"/>
        <v>0</v>
      </c>
      <c r="BM23" s="11">
        <f t="shared" si="58"/>
        <v>0</v>
      </c>
      <c r="BN23" s="11">
        <f t="shared" si="59"/>
        <v>0</v>
      </c>
      <c r="BO23" s="11">
        <f t="shared" si="60"/>
        <v>0</v>
      </c>
      <c r="BP23" s="11">
        <f t="shared" si="61"/>
        <v>0</v>
      </c>
      <c r="BQ23" s="11">
        <f t="shared" si="62"/>
        <v>0</v>
      </c>
      <c r="BR23" s="11">
        <f t="shared" si="63"/>
        <v>0.99990723282829308</v>
      </c>
      <c r="BS23" s="11">
        <f t="shared" si="64"/>
        <v>0</v>
      </c>
      <c r="BT23" s="11">
        <f t="shared" si="65"/>
        <v>0</v>
      </c>
      <c r="BU23" s="11">
        <f t="shared" si="66"/>
        <v>0.99975505888757032</v>
      </c>
      <c r="BV23" s="11">
        <f t="shared" si="67"/>
        <v>0</v>
      </c>
      <c r="BW23" s="11">
        <f t="shared" si="68"/>
        <v>0</v>
      </c>
      <c r="BX23" s="56">
        <f t="shared" si="69"/>
        <v>0</v>
      </c>
      <c r="BY23" s="11">
        <f t="shared" si="70"/>
        <v>0</v>
      </c>
      <c r="BZ23" s="34">
        <f t="shared" si="71"/>
        <v>0</v>
      </c>
      <c r="CA23" s="11">
        <f t="shared" si="72"/>
        <v>0</v>
      </c>
      <c r="CB23" s="11">
        <f t="shared" si="73"/>
        <v>6</v>
      </c>
      <c r="CC23" s="54"/>
      <c r="CD23" s="56">
        <f t="shared" si="74"/>
        <v>0</v>
      </c>
      <c r="CE23" s="56">
        <f t="shared" si="75"/>
        <v>0</v>
      </c>
      <c r="CF23" s="56">
        <f t="shared" si="76"/>
        <v>0</v>
      </c>
      <c r="CG23" s="56">
        <f t="shared" si="77"/>
        <v>0</v>
      </c>
      <c r="CH23" s="56">
        <f t="shared" si="78"/>
        <v>0</v>
      </c>
      <c r="CI23" s="56">
        <f t="shared" si="79"/>
        <v>0</v>
      </c>
      <c r="CJ23" s="56">
        <f t="shared" si="80"/>
        <v>0</v>
      </c>
      <c r="CK23" s="56">
        <f t="shared" si="81"/>
        <v>0</v>
      </c>
      <c r="CL23" s="56">
        <f t="shared" si="82"/>
        <v>0</v>
      </c>
      <c r="CM23" s="56">
        <f t="shared" si="83"/>
        <v>0</v>
      </c>
      <c r="CN23" s="56">
        <f t="shared" si="84"/>
        <v>0</v>
      </c>
      <c r="CO23" s="56">
        <f t="shared" si="85"/>
        <v>0</v>
      </c>
      <c r="CP23" s="56">
        <f t="shared" si="86"/>
        <v>0</v>
      </c>
      <c r="CQ23" s="56">
        <f t="shared" si="87"/>
        <v>0</v>
      </c>
      <c r="CR23" s="56">
        <f t="shared" si="88"/>
        <v>0</v>
      </c>
      <c r="CS23" s="56">
        <f t="shared" si="89"/>
        <v>0</v>
      </c>
      <c r="CT23" s="54"/>
      <c r="CV23" s="107" t="str">
        <f t="shared" si="90"/>
        <v/>
      </c>
      <c r="CX23" s="12">
        <f t="shared" si="91"/>
        <v>1.9996622917158633</v>
      </c>
      <c r="CY23" s="12">
        <f t="shared" si="92"/>
        <v>6</v>
      </c>
      <c r="CZ23" s="13"/>
    </row>
    <row r="24" spans="1:104" ht="16" customHeight="1">
      <c r="A24" s="4">
        <v>14</v>
      </c>
      <c r="B24" s="57" t="s">
        <v>130</v>
      </c>
      <c r="C24" s="15" t="s">
        <v>108</v>
      </c>
      <c r="D24" s="15"/>
      <c r="H24" s="20"/>
      <c r="I24" s="20"/>
      <c r="J24" s="20">
        <v>22.727</v>
      </c>
      <c r="K24" s="20"/>
      <c r="L24" s="20"/>
      <c r="M24" s="20"/>
      <c r="N24" s="20"/>
      <c r="O24" s="20"/>
      <c r="P24" s="20"/>
      <c r="Q24" s="20"/>
      <c r="R24" s="20"/>
      <c r="S24" s="9"/>
      <c r="T24" s="9"/>
      <c r="U24" s="9"/>
      <c r="V24" s="9"/>
      <c r="W24" s="9"/>
      <c r="X24" s="9">
        <v>32.341999999999999</v>
      </c>
      <c r="Y24" s="54"/>
      <c r="Z24" s="9"/>
      <c r="AA24" s="9"/>
      <c r="AB24" s="9"/>
      <c r="AC24" s="9"/>
      <c r="AD24" s="9"/>
      <c r="AE24" s="9"/>
      <c r="AF24" s="9"/>
      <c r="AG24" s="9"/>
      <c r="AH24" s="9"/>
      <c r="AI24" s="9">
        <v>44.930999999999997</v>
      </c>
      <c r="AJ24" s="9"/>
      <c r="AK24" s="9"/>
      <c r="AL24" s="9"/>
      <c r="AM24" s="9"/>
      <c r="AN24" s="9"/>
      <c r="AO24" s="9"/>
      <c r="AP24" s="54"/>
      <c r="AR24" s="25">
        <f t="shared" si="46"/>
        <v>100</v>
      </c>
      <c r="AS24" s="86"/>
      <c r="AT24" s="41">
        <f t="shared" si="47"/>
        <v>0</v>
      </c>
      <c r="AU24" s="21">
        <f t="shared" si="48"/>
        <v>0</v>
      </c>
      <c r="AV24" s="21">
        <f t="shared" si="49"/>
        <v>0</v>
      </c>
      <c r="AW24" s="20">
        <f t="shared" si="50"/>
        <v>0</v>
      </c>
      <c r="AX24" s="20">
        <f t="shared" si="51"/>
        <v>0</v>
      </c>
      <c r="AY24" s="85">
        <f t="shared" si="52"/>
        <v>100</v>
      </c>
      <c r="AZ24" s="85"/>
      <c r="BA24" s="45" t="s">
        <v>235</v>
      </c>
      <c r="BC24" s="84" t="s">
        <v>189</v>
      </c>
      <c r="BE24" s="50" t="s">
        <v>14</v>
      </c>
      <c r="BF24" s="83">
        <f t="shared" si="53"/>
        <v>2.0215013438339895</v>
      </c>
      <c r="BG24" s="50">
        <v>12</v>
      </c>
      <c r="BH24" s="50">
        <f t="shared" si="54"/>
        <v>0</v>
      </c>
      <c r="BI24" s="50">
        <f t="shared" si="55"/>
        <v>0</v>
      </c>
      <c r="BJ24" s="12"/>
      <c r="BK24" s="11">
        <f t="shared" si="56"/>
        <v>0</v>
      </c>
      <c r="BL24" s="11">
        <f t="shared" si="57"/>
        <v>0</v>
      </c>
      <c r="BM24" s="11">
        <f t="shared" si="58"/>
        <v>5.0001450824564246</v>
      </c>
      <c r="BN24" s="11">
        <f t="shared" si="59"/>
        <v>0</v>
      </c>
      <c r="BO24" s="11">
        <f t="shared" si="60"/>
        <v>0</v>
      </c>
      <c r="BP24" s="11">
        <f t="shared" si="61"/>
        <v>0</v>
      </c>
      <c r="BQ24" s="11">
        <f t="shared" si="62"/>
        <v>0</v>
      </c>
      <c r="BR24" s="11">
        <f t="shared" si="63"/>
        <v>0</v>
      </c>
      <c r="BS24" s="11">
        <f t="shared" si="64"/>
        <v>0</v>
      </c>
      <c r="BT24" s="11">
        <f t="shared" si="65"/>
        <v>0</v>
      </c>
      <c r="BU24" s="11">
        <f t="shared" si="66"/>
        <v>0</v>
      </c>
      <c r="BV24" s="11">
        <f t="shared" si="67"/>
        <v>0</v>
      </c>
      <c r="BW24" s="11">
        <f t="shared" si="68"/>
        <v>0</v>
      </c>
      <c r="BX24" s="56">
        <f t="shared" si="69"/>
        <v>0</v>
      </c>
      <c r="BY24" s="11">
        <f t="shared" si="70"/>
        <v>0</v>
      </c>
      <c r="BZ24" s="34">
        <f t="shared" si="71"/>
        <v>0</v>
      </c>
      <c r="CA24" s="11">
        <f t="shared" si="72"/>
        <v>0</v>
      </c>
      <c r="CB24" s="11">
        <f t="shared" si="73"/>
        <v>12</v>
      </c>
      <c r="CC24" s="54"/>
      <c r="CD24" s="56">
        <f t="shared" si="74"/>
        <v>0</v>
      </c>
      <c r="CE24" s="56">
        <f t="shared" si="75"/>
        <v>0</v>
      </c>
      <c r="CF24" s="56">
        <f t="shared" si="76"/>
        <v>0</v>
      </c>
      <c r="CG24" s="56">
        <f t="shared" si="77"/>
        <v>0</v>
      </c>
      <c r="CH24" s="56">
        <f t="shared" si="78"/>
        <v>0</v>
      </c>
      <c r="CI24" s="56">
        <f t="shared" si="79"/>
        <v>0</v>
      </c>
      <c r="CJ24" s="56">
        <f t="shared" si="80"/>
        <v>0</v>
      </c>
      <c r="CK24" s="56">
        <f t="shared" si="81"/>
        <v>0</v>
      </c>
      <c r="CL24" s="56">
        <f t="shared" si="82"/>
        <v>0</v>
      </c>
      <c r="CM24" s="56">
        <f t="shared" si="83"/>
        <v>3.0000117639223549</v>
      </c>
      <c r="CN24" s="56">
        <f t="shared" si="84"/>
        <v>0</v>
      </c>
      <c r="CO24" s="56">
        <f t="shared" si="85"/>
        <v>0</v>
      </c>
      <c r="CP24" s="56">
        <f t="shared" si="86"/>
        <v>0</v>
      </c>
      <c r="CQ24" s="56">
        <f t="shared" si="87"/>
        <v>0</v>
      </c>
      <c r="CR24" s="56">
        <f t="shared" si="88"/>
        <v>0</v>
      </c>
      <c r="CS24" s="56">
        <f t="shared" si="89"/>
        <v>0</v>
      </c>
      <c r="CT24" s="54"/>
      <c r="CV24" s="107" t="str">
        <f t="shared" si="90"/>
        <v/>
      </c>
      <c r="CX24" s="12">
        <f t="shared" si="91"/>
        <v>8.0001568463787791</v>
      </c>
      <c r="CY24" s="12">
        <f t="shared" si="92"/>
        <v>12</v>
      </c>
      <c r="CZ24" s="13"/>
    </row>
    <row r="25" spans="1:104" ht="16" customHeight="1">
      <c r="A25" s="4">
        <v>15</v>
      </c>
      <c r="B25" s="5" t="s">
        <v>234</v>
      </c>
      <c r="C25" s="15" t="s">
        <v>108</v>
      </c>
      <c r="D25" s="15"/>
      <c r="H25" s="20"/>
      <c r="I25" s="20">
        <v>35.22</v>
      </c>
      <c r="J25" s="20"/>
      <c r="K25" s="20"/>
      <c r="L25" s="20"/>
      <c r="M25" s="20"/>
      <c r="N25" s="20"/>
      <c r="O25" s="20"/>
      <c r="P25" s="20"/>
      <c r="Q25" s="20">
        <v>29.48</v>
      </c>
      <c r="R25" s="20"/>
      <c r="S25" s="9"/>
      <c r="T25" s="9"/>
      <c r="U25" s="9"/>
      <c r="V25" s="9"/>
      <c r="W25" s="9"/>
      <c r="X25" s="9">
        <v>35.299999999999997</v>
      </c>
      <c r="Y25" s="54"/>
      <c r="Z25" s="9"/>
      <c r="AA25" s="9"/>
      <c r="AB25" s="9"/>
      <c r="AC25" s="9"/>
      <c r="AD25" s="9"/>
      <c r="AE25" s="9"/>
      <c r="AF25" s="9"/>
      <c r="AG25" s="9"/>
      <c r="AH25" s="9"/>
      <c r="AI25" s="9"/>
      <c r="AJ25" s="9"/>
      <c r="AK25" s="9"/>
      <c r="AL25" s="9"/>
      <c r="AM25" s="9"/>
      <c r="AN25" s="9"/>
      <c r="AO25" s="9"/>
      <c r="AP25" s="54"/>
      <c r="AR25" s="25">
        <f t="shared" si="46"/>
        <v>100</v>
      </c>
      <c r="AS25" s="86"/>
      <c r="AT25" s="41">
        <f t="shared" si="47"/>
        <v>0</v>
      </c>
      <c r="AU25" s="21">
        <f t="shared" si="48"/>
        <v>0</v>
      </c>
      <c r="AV25" s="21">
        <f t="shared" si="49"/>
        <v>0</v>
      </c>
      <c r="AW25" s="20">
        <f t="shared" si="50"/>
        <v>0</v>
      </c>
      <c r="AX25" s="20">
        <f t="shared" si="51"/>
        <v>0</v>
      </c>
      <c r="AY25" s="85">
        <f t="shared" si="52"/>
        <v>100</v>
      </c>
      <c r="AZ25" s="85"/>
      <c r="BA25" s="45" t="s">
        <v>233</v>
      </c>
      <c r="BC25" s="84" t="s">
        <v>189</v>
      </c>
      <c r="BE25" s="50" t="s">
        <v>14</v>
      </c>
      <c r="BF25" s="83">
        <f t="shared" si="53"/>
        <v>2.2063878992437025</v>
      </c>
      <c r="BG25" s="50">
        <v>3</v>
      </c>
      <c r="BH25" s="50">
        <f t="shared" si="54"/>
        <v>0</v>
      </c>
      <c r="BI25" s="50">
        <f t="shared" si="55"/>
        <v>0</v>
      </c>
      <c r="BJ25" s="12"/>
      <c r="BK25" s="11">
        <f t="shared" si="56"/>
        <v>0</v>
      </c>
      <c r="BL25" s="11">
        <f t="shared" si="57"/>
        <v>1.0004434146526515</v>
      </c>
      <c r="BM25" s="11">
        <f t="shared" si="58"/>
        <v>0</v>
      </c>
      <c r="BN25" s="11">
        <f t="shared" si="59"/>
        <v>0</v>
      </c>
      <c r="BO25" s="11">
        <f t="shared" si="60"/>
        <v>0</v>
      </c>
      <c r="BP25" s="11">
        <f t="shared" si="61"/>
        <v>0</v>
      </c>
      <c r="BQ25" s="11">
        <f t="shared" si="62"/>
        <v>0</v>
      </c>
      <c r="BR25" s="11">
        <f t="shared" si="63"/>
        <v>0</v>
      </c>
      <c r="BS25" s="11">
        <f t="shared" si="64"/>
        <v>0</v>
      </c>
      <c r="BT25" s="11">
        <f t="shared" si="65"/>
        <v>0</v>
      </c>
      <c r="BU25" s="11">
        <f t="shared" si="66"/>
        <v>1.0001400668130576</v>
      </c>
      <c r="BV25" s="11">
        <f t="shared" si="67"/>
        <v>0</v>
      </c>
      <c r="BW25" s="11">
        <f t="shared" si="68"/>
        <v>0</v>
      </c>
      <c r="BX25" s="56">
        <f t="shared" si="69"/>
        <v>0</v>
      </c>
      <c r="BY25" s="11">
        <f t="shared" si="70"/>
        <v>0</v>
      </c>
      <c r="BZ25" s="34">
        <f t="shared" si="71"/>
        <v>0</v>
      </c>
      <c r="CA25" s="11">
        <f t="shared" si="72"/>
        <v>0</v>
      </c>
      <c r="CB25" s="11">
        <f t="shared" si="73"/>
        <v>3</v>
      </c>
      <c r="CC25" s="54"/>
      <c r="CD25" s="56">
        <f t="shared" si="74"/>
        <v>0</v>
      </c>
      <c r="CE25" s="56">
        <f t="shared" si="75"/>
        <v>0</v>
      </c>
      <c r="CF25" s="56">
        <f t="shared" si="76"/>
        <v>0</v>
      </c>
      <c r="CG25" s="56">
        <f t="shared" si="77"/>
        <v>0</v>
      </c>
      <c r="CH25" s="56">
        <f t="shared" si="78"/>
        <v>0</v>
      </c>
      <c r="CI25" s="56">
        <f t="shared" si="79"/>
        <v>0</v>
      </c>
      <c r="CJ25" s="56">
        <f t="shared" si="80"/>
        <v>0</v>
      </c>
      <c r="CK25" s="56">
        <f t="shared" si="81"/>
        <v>0</v>
      </c>
      <c r="CL25" s="56">
        <f t="shared" si="82"/>
        <v>0</v>
      </c>
      <c r="CM25" s="56">
        <f t="shared" si="83"/>
        <v>0</v>
      </c>
      <c r="CN25" s="56">
        <f t="shared" si="84"/>
        <v>0</v>
      </c>
      <c r="CO25" s="56">
        <f t="shared" si="85"/>
        <v>0</v>
      </c>
      <c r="CP25" s="56">
        <f t="shared" si="86"/>
        <v>0</v>
      </c>
      <c r="CQ25" s="56">
        <f t="shared" si="87"/>
        <v>0</v>
      </c>
      <c r="CR25" s="56">
        <f t="shared" si="88"/>
        <v>0</v>
      </c>
      <c r="CS25" s="56">
        <f t="shared" si="89"/>
        <v>0</v>
      </c>
      <c r="CT25" s="54"/>
      <c r="CV25" s="107" t="str">
        <f t="shared" si="90"/>
        <v/>
      </c>
      <c r="CX25" s="12">
        <f t="shared" si="91"/>
        <v>2.0005834814657089</v>
      </c>
      <c r="CY25" s="12">
        <f t="shared" si="92"/>
        <v>3</v>
      </c>
      <c r="CZ25" s="13"/>
    </row>
    <row r="26" spans="1:104" ht="16" customHeight="1">
      <c r="A26" s="4">
        <v>16</v>
      </c>
      <c r="B26" s="57" t="s">
        <v>133</v>
      </c>
      <c r="C26" s="15" t="s">
        <v>108</v>
      </c>
      <c r="D26" s="15"/>
      <c r="H26" s="20">
        <v>14.327</v>
      </c>
      <c r="I26" s="20">
        <v>24.419</v>
      </c>
      <c r="J26" s="20"/>
      <c r="K26" s="20"/>
      <c r="L26" s="20"/>
      <c r="M26" s="20"/>
      <c r="N26" s="20"/>
      <c r="O26" s="20"/>
      <c r="P26" s="20"/>
      <c r="Q26" s="20">
        <v>20.445</v>
      </c>
      <c r="R26" s="20"/>
      <c r="S26" s="9"/>
      <c r="T26" s="9"/>
      <c r="U26" s="9"/>
      <c r="V26" s="9"/>
      <c r="W26" s="9"/>
      <c r="X26" s="9">
        <v>40.808</v>
      </c>
      <c r="Y26" s="54"/>
      <c r="Z26" s="9"/>
      <c r="AA26" s="9"/>
      <c r="AB26" s="9"/>
      <c r="AC26" s="9"/>
      <c r="AD26" s="9"/>
      <c r="AE26" s="9"/>
      <c r="AF26" s="9"/>
      <c r="AG26" s="9"/>
      <c r="AH26" s="9"/>
      <c r="AI26" s="9"/>
      <c r="AJ26" s="9"/>
      <c r="AK26" s="9"/>
      <c r="AL26" s="9"/>
      <c r="AM26" s="9"/>
      <c r="AN26" s="9"/>
      <c r="AO26" s="9"/>
      <c r="AP26" s="54"/>
      <c r="AR26" s="25">
        <f t="shared" si="46"/>
        <v>99.998999999999995</v>
      </c>
      <c r="AS26" s="86"/>
      <c r="AT26" s="41">
        <f t="shared" si="47"/>
        <v>0</v>
      </c>
      <c r="AU26" s="21">
        <f t="shared" si="48"/>
        <v>0</v>
      </c>
      <c r="AV26" s="21">
        <f t="shared" si="49"/>
        <v>0</v>
      </c>
      <c r="AW26" s="20">
        <f t="shared" si="50"/>
        <v>0</v>
      </c>
      <c r="AX26" s="20">
        <f t="shared" si="51"/>
        <v>0</v>
      </c>
      <c r="AY26" s="85">
        <f t="shared" si="52"/>
        <v>99.998999999999995</v>
      </c>
      <c r="AZ26" s="85"/>
      <c r="BA26" s="45" t="s">
        <v>232</v>
      </c>
      <c r="BC26" s="84" t="s">
        <v>189</v>
      </c>
      <c r="BE26" s="50" t="s">
        <v>14</v>
      </c>
      <c r="BF26" s="83">
        <f t="shared" si="53"/>
        <v>2.5506594162135134</v>
      </c>
      <c r="BG26" s="50">
        <v>5</v>
      </c>
      <c r="BH26" s="50">
        <f t="shared" si="54"/>
        <v>0</v>
      </c>
      <c r="BI26" s="50">
        <f t="shared" si="55"/>
        <v>0</v>
      </c>
      <c r="BJ26" s="12"/>
      <c r="BK26" s="11">
        <f t="shared" si="56"/>
        <v>0.99997843232020889</v>
      </c>
      <c r="BL26" s="11">
        <f t="shared" si="57"/>
        <v>1.0000211784173743</v>
      </c>
      <c r="BM26" s="11">
        <f t="shared" si="58"/>
        <v>0</v>
      </c>
      <c r="BN26" s="11">
        <f t="shared" si="59"/>
        <v>0</v>
      </c>
      <c r="BO26" s="11">
        <f t="shared" si="60"/>
        <v>0</v>
      </c>
      <c r="BP26" s="11">
        <f t="shared" si="61"/>
        <v>0</v>
      </c>
      <c r="BQ26" s="11">
        <f t="shared" si="62"/>
        <v>0</v>
      </c>
      <c r="BR26" s="11">
        <f t="shared" si="63"/>
        <v>0</v>
      </c>
      <c r="BS26" s="11">
        <f t="shared" si="64"/>
        <v>0</v>
      </c>
      <c r="BT26" s="11">
        <f t="shared" si="65"/>
        <v>0</v>
      </c>
      <c r="BU26" s="11">
        <f t="shared" si="66"/>
        <v>0.99999679058985325</v>
      </c>
      <c r="BV26" s="11">
        <f t="shared" si="67"/>
        <v>0</v>
      </c>
      <c r="BW26" s="11">
        <f t="shared" si="68"/>
        <v>0</v>
      </c>
      <c r="BX26" s="56">
        <f t="shared" si="69"/>
        <v>0</v>
      </c>
      <c r="BY26" s="11">
        <f t="shared" si="70"/>
        <v>0</v>
      </c>
      <c r="BZ26" s="34">
        <f t="shared" si="71"/>
        <v>0</v>
      </c>
      <c r="CA26" s="11">
        <f t="shared" si="72"/>
        <v>0</v>
      </c>
      <c r="CB26" s="11">
        <f t="shared" si="73"/>
        <v>5</v>
      </c>
      <c r="CC26" s="54"/>
      <c r="CD26" s="56">
        <f t="shared" si="74"/>
        <v>0</v>
      </c>
      <c r="CE26" s="56">
        <f t="shared" si="75"/>
        <v>0</v>
      </c>
      <c r="CF26" s="56">
        <f t="shared" si="76"/>
        <v>0</v>
      </c>
      <c r="CG26" s="56">
        <f t="shared" si="77"/>
        <v>0</v>
      </c>
      <c r="CH26" s="56">
        <f t="shared" si="78"/>
        <v>0</v>
      </c>
      <c r="CI26" s="56">
        <f t="shared" si="79"/>
        <v>0</v>
      </c>
      <c r="CJ26" s="56">
        <f t="shared" si="80"/>
        <v>0</v>
      </c>
      <c r="CK26" s="56">
        <f t="shared" si="81"/>
        <v>0</v>
      </c>
      <c r="CL26" s="56">
        <f t="shared" si="82"/>
        <v>0</v>
      </c>
      <c r="CM26" s="56">
        <f t="shared" si="83"/>
        <v>0</v>
      </c>
      <c r="CN26" s="56">
        <f t="shared" si="84"/>
        <v>0</v>
      </c>
      <c r="CO26" s="56">
        <f t="shared" si="85"/>
        <v>0</v>
      </c>
      <c r="CP26" s="56">
        <f t="shared" si="86"/>
        <v>0</v>
      </c>
      <c r="CQ26" s="56">
        <f t="shared" si="87"/>
        <v>0</v>
      </c>
      <c r="CR26" s="56">
        <f t="shared" si="88"/>
        <v>0</v>
      </c>
      <c r="CS26" s="56">
        <f t="shared" si="89"/>
        <v>0</v>
      </c>
      <c r="CT26" s="54"/>
      <c r="CV26" s="107" t="str">
        <f t="shared" si="90"/>
        <v/>
      </c>
      <c r="CX26" s="12">
        <f t="shared" si="91"/>
        <v>2.9999964013274365</v>
      </c>
      <c r="CY26" s="12">
        <f t="shared" si="92"/>
        <v>5</v>
      </c>
      <c r="CZ26" s="13"/>
    </row>
    <row r="27" spans="1:104" ht="16" customHeight="1">
      <c r="A27" s="4">
        <v>17</v>
      </c>
      <c r="B27" s="5" t="s">
        <v>231</v>
      </c>
      <c r="C27" s="15" t="s">
        <v>108</v>
      </c>
      <c r="D27" s="15"/>
      <c r="H27" s="20"/>
      <c r="I27" s="20"/>
      <c r="J27" s="20"/>
      <c r="K27" s="20"/>
      <c r="L27" s="20"/>
      <c r="M27" s="20"/>
      <c r="N27" s="20"/>
      <c r="O27" s="20"/>
      <c r="P27" s="20"/>
      <c r="Q27" s="20">
        <v>13.92</v>
      </c>
      <c r="R27" s="20"/>
      <c r="S27" s="9"/>
      <c r="T27" s="9"/>
      <c r="U27" s="9"/>
      <c r="V27" s="9"/>
      <c r="W27" s="9"/>
      <c r="X27" s="9">
        <v>22.23</v>
      </c>
      <c r="Y27" s="54"/>
      <c r="Z27" s="9"/>
      <c r="AA27" s="9"/>
      <c r="AB27" s="9"/>
      <c r="AC27" s="9"/>
      <c r="AD27" s="9"/>
      <c r="AE27" s="9"/>
      <c r="AF27" s="9"/>
      <c r="AG27" s="9"/>
      <c r="AH27" s="9"/>
      <c r="AI27" s="9"/>
      <c r="AJ27" s="9"/>
      <c r="AK27" s="9">
        <v>63.85</v>
      </c>
      <c r="AL27" s="9"/>
      <c r="AM27" s="9"/>
      <c r="AN27" s="9"/>
      <c r="AO27" s="9"/>
      <c r="AP27" s="54"/>
      <c r="AR27" s="25">
        <f t="shared" si="46"/>
        <v>100</v>
      </c>
      <c r="AS27" s="86"/>
      <c r="AT27" s="41">
        <f t="shared" si="47"/>
        <v>0</v>
      </c>
      <c r="AU27" s="21">
        <f t="shared" si="48"/>
        <v>0</v>
      </c>
      <c r="AV27" s="21">
        <f t="shared" si="49"/>
        <v>0</v>
      </c>
      <c r="AW27" s="20">
        <f t="shared" si="50"/>
        <v>0</v>
      </c>
      <c r="AX27" s="20">
        <f t="shared" si="51"/>
        <v>0</v>
      </c>
      <c r="AY27" s="85">
        <f t="shared" si="52"/>
        <v>100</v>
      </c>
      <c r="AZ27" s="85"/>
      <c r="BA27" s="45" t="s">
        <v>230</v>
      </c>
      <c r="BC27" s="84" t="s">
        <v>189</v>
      </c>
      <c r="BE27" s="50" t="s">
        <v>14</v>
      </c>
      <c r="BF27" s="83">
        <f t="shared" si="53"/>
        <v>1.3894618413650852</v>
      </c>
      <c r="BG27" s="50">
        <v>4</v>
      </c>
      <c r="BH27" s="50">
        <f t="shared" si="54"/>
        <v>0</v>
      </c>
      <c r="BI27" s="50">
        <f t="shared" si="55"/>
        <v>0</v>
      </c>
      <c r="BJ27" s="12"/>
      <c r="BK27" s="11">
        <f t="shared" si="56"/>
        <v>0</v>
      </c>
      <c r="BL27" s="11">
        <f t="shared" si="57"/>
        <v>0</v>
      </c>
      <c r="BM27" s="11">
        <f t="shared" si="58"/>
        <v>0</v>
      </c>
      <c r="BN27" s="11">
        <f t="shared" si="59"/>
        <v>0</v>
      </c>
      <c r="BO27" s="11">
        <f t="shared" si="60"/>
        <v>0</v>
      </c>
      <c r="BP27" s="11">
        <f t="shared" si="61"/>
        <v>0</v>
      </c>
      <c r="BQ27" s="11">
        <f t="shared" si="62"/>
        <v>0</v>
      </c>
      <c r="BR27" s="11">
        <f t="shared" si="63"/>
        <v>0</v>
      </c>
      <c r="BS27" s="11">
        <f t="shared" si="64"/>
        <v>0</v>
      </c>
      <c r="BT27" s="11">
        <f t="shared" si="65"/>
        <v>0</v>
      </c>
      <c r="BU27" s="11">
        <f t="shared" si="66"/>
        <v>0.9998769605746527</v>
      </c>
      <c r="BV27" s="11">
        <f t="shared" si="67"/>
        <v>0</v>
      </c>
      <c r="BW27" s="11">
        <f t="shared" si="68"/>
        <v>0</v>
      </c>
      <c r="BX27" s="56">
        <f t="shared" si="69"/>
        <v>0</v>
      </c>
      <c r="BY27" s="11">
        <f t="shared" si="70"/>
        <v>0</v>
      </c>
      <c r="BZ27" s="34">
        <f t="shared" si="71"/>
        <v>0</v>
      </c>
      <c r="CA27" s="11">
        <f t="shared" si="72"/>
        <v>0</v>
      </c>
      <c r="CB27" s="11">
        <f t="shared" si="73"/>
        <v>4</v>
      </c>
      <c r="CC27" s="54"/>
      <c r="CD27" s="56">
        <f t="shared" si="74"/>
        <v>0</v>
      </c>
      <c r="CE27" s="56">
        <f t="shared" si="75"/>
        <v>0</v>
      </c>
      <c r="CF27" s="56">
        <f t="shared" si="76"/>
        <v>0</v>
      </c>
      <c r="CG27" s="56">
        <f t="shared" si="77"/>
        <v>0</v>
      </c>
      <c r="CH27" s="56">
        <f t="shared" si="78"/>
        <v>0</v>
      </c>
      <c r="CI27" s="56">
        <f t="shared" si="79"/>
        <v>0</v>
      </c>
      <c r="CJ27" s="56">
        <f t="shared" si="80"/>
        <v>0</v>
      </c>
      <c r="CK27" s="56">
        <f t="shared" si="81"/>
        <v>0</v>
      </c>
      <c r="CL27" s="56">
        <f t="shared" si="82"/>
        <v>0</v>
      </c>
      <c r="CM27" s="56">
        <f t="shared" si="83"/>
        <v>0</v>
      </c>
      <c r="CN27" s="56">
        <f t="shared" si="84"/>
        <v>0</v>
      </c>
      <c r="CO27" s="56">
        <f t="shared" si="85"/>
        <v>0.9998486332655635</v>
      </c>
      <c r="CP27" s="56">
        <f t="shared" si="86"/>
        <v>0</v>
      </c>
      <c r="CQ27" s="56">
        <f t="shared" si="87"/>
        <v>0</v>
      </c>
      <c r="CR27" s="56">
        <f t="shared" si="88"/>
        <v>0</v>
      </c>
      <c r="CS27" s="56">
        <f t="shared" si="89"/>
        <v>0</v>
      </c>
      <c r="CT27" s="54"/>
      <c r="CV27" s="107" t="str">
        <f t="shared" si="90"/>
        <v/>
      </c>
      <c r="CX27" s="12">
        <f t="shared" si="91"/>
        <v>1.9997255938402163</v>
      </c>
      <c r="CY27" s="12">
        <f t="shared" si="92"/>
        <v>4</v>
      </c>
      <c r="CZ27" s="13"/>
    </row>
    <row r="28" spans="1:104" ht="16" customHeight="1">
      <c r="A28" s="4">
        <v>18</v>
      </c>
      <c r="B28" s="17" t="s">
        <v>229</v>
      </c>
      <c r="C28" s="15" t="s">
        <v>108</v>
      </c>
      <c r="D28" s="37"/>
      <c r="H28" s="20"/>
      <c r="I28" s="20">
        <v>26.09</v>
      </c>
      <c r="J28" s="20"/>
      <c r="K28" s="20"/>
      <c r="L28" s="20"/>
      <c r="M28" s="20"/>
      <c r="N28" s="20"/>
      <c r="O28" s="20"/>
      <c r="P28" s="20"/>
      <c r="Q28" s="20"/>
      <c r="R28" s="20"/>
      <c r="V28" s="9"/>
      <c r="W28" s="9"/>
      <c r="X28" s="9">
        <v>26.16</v>
      </c>
      <c r="Z28" s="9"/>
      <c r="AA28" s="9"/>
      <c r="AB28" s="9"/>
      <c r="AC28" s="9"/>
      <c r="AD28" s="9">
        <v>47.75</v>
      </c>
      <c r="AE28" s="9"/>
      <c r="AF28" s="9"/>
      <c r="AG28" s="9"/>
      <c r="AH28" s="9"/>
      <c r="AI28" s="9"/>
      <c r="AJ28" s="9"/>
      <c r="AK28" s="9"/>
      <c r="AL28" s="9"/>
      <c r="AM28" s="9"/>
      <c r="AN28" s="9"/>
      <c r="AO28" s="9"/>
      <c r="AR28" s="25">
        <f t="shared" si="46"/>
        <v>100</v>
      </c>
      <c r="AS28" s="86"/>
      <c r="AT28" s="41">
        <f t="shared" si="47"/>
        <v>0</v>
      </c>
      <c r="AU28" s="21">
        <f t="shared" si="48"/>
        <v>0</v>
      </c>
      <c r="AV28" s="21">
        <f t="shared" si="49"/>
        <v>0</v>
      </c>
      <c r="AW28" s="20">
        <f t="shared" si="50"/>
        <v>0</v>
      </c>
      <c r="AX28" s="20">
        <f t="shared" si="51"/>
        <v>0</v>
      </c>
      <c r="AY28" s="85">
        <f t="shared" si="52"/>
        <v>100</v>
      </c>
      <c r="AZ28" s="85"/>
      <c r="BA28" s="45" t="s">
        <v>228</v>
      </c>
      <c r="BC28" s="84" t="s">
        <v>189</v>
      </c>
      <c r="BE28" s="50" t="s">
        <v>14</v>
      </c>
      <c r="BF28" s="83">
        <f t="shared" si="53"/>
        <v>1.635102193887118</v>
      </c>
      <c r="BG28" s="50">
        <v>3</v>
      </c>
      <c r="BH28" s="50">
        <f t="shared" si="54"/>
        <v>0</v>
      </c>
      <c r="BI28" s="50">
        <f t="shared" si="55"/>
        <v>0</v>
      </c>
      <c r="BJ28" s="12"/>
      <c r="BK28" s="11">
        <f t="shared" si="56"/>
        <v>0</v>
      </c>
      <c r="BL28" s="11">
        <f t="shared" si="57"/>
        <v>1.0000327503405366</v>
      </c>
      <c r="BM28" s="11">
        <f t="shared" si="58"/>
        <v>0</v>
      </c>
      <c r="BN28" s="11">
        <f t="shared" si="59"/>
        <v>0</v>
      </c>
      <c r="BO28" s="11">
        <f t="shared" si="60"/>
        <v>0</v>
      </c>
      <c r="BP28" s="11">
        <f t="shared" si="61"/>
        <v>0</v>
      </c>
      <c r="BQ28" s="11">
        <f t="shared" si="62"/>
        <v>0</v>
      </c>
      <c r="BR28" s="11">
        <f t="shared" si="63"/>
        <v>0</v>
      </c>
      <c r="BS28" s="11">
        <f t="shared" si="64"/>
        <v>0</v>
      </c>
      <c r="BT28" s="11">
        <f t="shared" si="65"/>
        <v>0</v>
      </c>
      <c r="BU28" s="11">
        <f t="shared" si="66"/>
        <v>0</v>
      </c>
      <c r="BV28" s="11">
        <f t="shared" si="67"/>
        <v>0</v>
      </c>
      <c r="BW28" s="11">
        <f t="shared" si="68"/>
        <v>0</v>
      </c>
      <c r="BX28" s="56">
        <f t="shared" si="69"/>
        <v>0</v>
      </c>
      <c r="BY28" s="11">
        <f t="shared" si="70"/>
        <v>0</v>
      </c>
      <c r="BZ28" s="34">
        <f t="shared" si="71"/>
        <v>0</v>
      </c>
      <c r="CA28" s="11">
        <f t="shared" si="72"/>
        <v>0</v>
      </c>
      <c r="CB28" s="11">
        <f t="shared" si="73"/>
        <v>3</v>
      </c>
      <c r="CC28" s="54"/>
      <c r="CD28" s="56">
        <f t="shared" si="74"/>
        <v>0</v>
      </c>
      <c r="CE28" s="56">
        <f t="shared" si="75"/>
        <v>0</v>
      </c>
      <c r="CF28" s="56">
        <f t="shared" si="76"/>
        <v>0</v>
      </c>
      <c r="CG28" s="56">
        <f t="shared" si="77"/>
        <v>0</v>
      </c>
      <c r="CH28" s="56">
        <f t="shared" si="78"/>
        <v>0.99987677449955914</v>
      </c>
      <c r="CI28" s="56">
        <f t="shared" si="79"/>
        <v>0</v>
      </c>
      <c r="CJ28" s="56">
        <f t="shared" si="80"/>
        <v>0</v>
      </c>
      <c r="CK28" s="56">
        <f t="shared" si="81"/>
        <v>0</v>
      </c>
      <c r="CL28" s="56">
        <f t="shared" si="82"/>
        <v>0</v>
      </c>
      <c r="CM28" s="56">
        <f t="shared" si="83"/>
        <v>0</v>
      </c>
      <c r="CN28" s="56">
        <f t="shared" si="84"/>
        <v>0</v>
      </c>
      <c r="CO28" s="56">
        <f t="shared" si="85"/>
        <v>0</v>
      </c>
      <c r="CP28" s="56">
        <f t="shared" si="86"/>
        <v>0</v>
      </c>
      <c r="CQ28" s="56">
        <f t="shared" si="87"/>
        <v>0</v>
      </c>
      <c r="CR28" s="56">
        <f t="shared" si="88"/>
        <v>0</v>
      </c>
      <c r="CS28" s="56">
        <f t="shared" si="89"/>
        <v>0</v>
      </c>
      <c r="CT28" s="54"/>
      <c r="CV28" s="107" t="str">
        <f t="shared" si="90"/>
        <v/>
      </c>
      <c r="CX28" s="12">
        <f t="shared" si="91"/>
        <v>1.9999095248400958</v>
      </c>
      <c r="CY28" s="12">
        <f t="shared" si="92"/>
        <v>3</v>
      </c>
    </row>
    <row r="29" spans="1:104" ht="16" customHeight="1">
      <c r="A29" s="4">
        <v>19</v>
      </c>
      <c r="B29" s="17" t="s">
        <v>227</v>
      </c>
      <c r="C29" s="15" t="s">
        <v>108</v>
      </c>
      <c r="H29" s="20"/>
      <c r="I29" s="20"/>
      <c r="J29" s="20"/>
      <c r="K29" s="20"/>
      <c r="L29" s="20"/>
      <c r="M29" s="20"/>
      <c r="N29" s="20"/>
      <c r="O29" s="20"/>
      <c r="P29" s="20"/>
      <c r="Q29" s="20"/>
      <c r="R29" s="20"/>
      <c r="U29" s="9">
        <v>32.57</v>
      </c>
      <c r="V29" s="9"/>
      <c r="W29" s="9"/>
      <c r="X29" s="9"/>
      <c r="Z29" s="9"/>
      <c r="AA29" s="9">
        <v>48.41</v>
      </c>
      <c r="AB29" s="9"/>
      <c r="AC29" s="9"/>
      <c r="AD29" s="9"/>
      <c r="AE29" s="9"/>
      <c r="AF29" s="9"/>
      <c r="AG29" s="9"/>
      <c r="AH29" s="9"/>
      <c r="AI29" s="9"/>
      <c r="AJ29" s="9"/>
      <c r="AK29" s="9"/>
      <c r="AL29" s="9">
        <v>19.02</v>
      </c>
      <c r="AM29" s="9"/>
      <c r="AN29" s="9"/>
      <c r="AO29" s="9"/>
      <c r="AR29" s="25">
        <f t="shared" si="46"/>
        <v>99.999999999999986</v>
      </c>
      <c r="AS29" s="86"/>
      <c r="AT29" s="41">
        <f t="shared" si="47"/>
        <v>0</v>
      </c>
      <c r="AU29" s="21">
        <f t="shared" si="48"/>
        <v>0</v>
      </c>
      <c r="AV29" s="21">
        <f t="shared" si="49"/>
        <v>0</v>
      </c>
      <c r="AW29" s="20">
        <f t="shared" si="50"/>
        <v>0</v>
      </c>
      <c r="AX29" s="20">
        <f t="shared" si="51"/>
        <v>0</v>
      </c>
      <c r="AY29" s="85">
        <f t="shared" si="52"/>
        <v>99.999999999999986</v>
      </c>
      <c r="AZ29" s="85"/>
      <c r="BA29" s="45" t="s">
        <v>226</v>
      </c>
      <c r="BC29" s="84" t="s">
        <v>189</v>
      </c>
      <c r="BE29" s="50" t="s">
        <v>105</v>
      </c>
      <c r="BF29" s="83">
        <f t="shared" si="53"/>
        <v>1.0157492593170123</v>
      </c>
      <c r="BG29" s="50">
        <v>4</v>
      </c>
      <c r="BH29" s="50">
        <f t="shared" si="54"/>
        <v>0</v>
      </c>
      <c r="BI29" s="50">
        <f t="shared" si="55"/>
        <v>0</v>
      </c>
      <c r="BJ29" s="12"/>
      <c r="BK29" s="11">
        <f t="shared" si="56"/>
        <v>0</v>
      </c>
      <c r="BL29" s="11">
        <f t="shared" si="57"/>
        <v>0</v>
      </c>
      <c r="BM29" s="11">
        <f t="shared" si="58"/>
        <v>0</v>
      </c>
      <c r="BN29" s="11">
        <f t="shared" si="59"/>
        <v>0</v>
      </c>
      <c r="BO29" s="11">
        <f t="shared" si="60"/>
        <v>0</v>
      </c>
      <c r="BP29" s="11">
        <f t="shared" si="61"/>
        <v>0</v>
      </c>
      <c r="BQ29" s="11">
        <f t="shared" si="62"/>
        <v>0</v>
      </c>
      <c r="BR29" s="11">
        <f t="shared" si="63"/>
        <v>0</v>
      </c>
      <c r="BS29" s="11">
        <f t="shared" si="64"/>
        <v>0</v>
      </c>
      <c r="BT29" s="11">
        <f t="shared" si="65"/>
        <v>0</v>
      </c>
      <c r="BU29" s="11">
        <f t="shared" si="66"/>
        <v>0</v>
      </c>
      <c r="BV29" s="11">
        <f t="shared" si="67"/>
        <v>0</v>
      </c>
      <c r="BW29" s="11">
        <f t="shared" si="68"/>
        <v>0</v>
      </c>
      <c r="BX29" s="56">
        <f t="shared" si="69"/>
        <v>0</v>
      </c>
      <c r="BY29" s="11">
        <f t="shared" si="70"/>
        <v>4</v>
      </c>
      <c r="BZ29" s="34">
        <f t="shared" si="71"/>
        <v>0</v>
      </c>
      <c r="CA29" s="11">
        <f t="shared" si="72"/>
        <v>0</v>
      </c>
      <c r="CB29" s="11">
        <f t="shared" si="73"/>
        <v>0</v>
      </c>
      <c r="CC29" s="54"/>
      <c r="CD29" s="56">
        <f t="shared" si="74"/>
        <v>0</v>
      </c>
      <c r="CE29" s="56">
        <f t="shared" si="75"/>
        <v>2.9999936898860788</v>
      </c>
      <c r="CF29" s="56">
        <f t="shared" si="76"/>
        <v>0</v>
      </c>
      <c r="CG29" s="56">
        <f t="shared" si="77"/>
        <v>0</v>
      </c>
      <c r="CH29" s="56">
        <f t="shared" si="78"/>
        <v>0</v>
      </c>
      <c r="CI29" s="56">
        <f t="shared" si="79"/>
        <v>0</v>
      </c>
      <c r="CJ29" s="56">
        <f t="shared" si="80"/>
        <v>0</v>
      </c>
      <c r="CK29" s="56">
        <f t="shared" si="81"/>
        <v>0</v>
      </c>
      <c r="CL29" s="56">
        <f t="shared" si="82"/>
        <v>0</v>
      </c>
      <c r="CM29" s="56">
        <f t="shared" si="83"/>
        <v>0</v>
      </c>
      <c r="CN29" s="56">
        <f t="shared" si="84"/>
        <v>0</v>
      </c>
      <c r="CO29" s="56">
        <f t="shared" si="85"/>
        <v>0</v>
      </c>
      <c r="CP29" s="56">
        <f t="shared" si="86"/>
        <v>0.9997166982263106</v>
      </c>
      <c r="CQ29" s="56">
        <f t="shared" si="87"/>
        <v>0</v>
      </c>
      <c r="CR29" s="56">
        <f t="shared" si="88"/>
        <v>0</v>
      </c>
      <c r="CS29" s="56">
        <f t="shared" si="89"/>
        <v>0</v>
      </c>
      <c r="CT29" s="54"/>
      <c r="CV29" s="107" t="str">
        <f t="shared" si="90"/>
        <v/>
      </c>
      <c r="CX29" s="12">
        <f t="shared" si="91"/>
        <v>3.9997103881123897</v>
      </c>
      <c r="CY29" s="12">
        <f t="shared" si="92"/>
        <v>4</v>
      </c>
    </row>
    <row r="30" spans="1:104" ht="16" customHeight="1">
      <c r="A30" s="4">
        <v>20</v>
      </c>
      <c r="B30" s="17" t="s">
        <v>225</v>
      </c>
      <c r="C30" s="15" t="s">
        <v>108</v>
      </c>
      <c r="H30" s="20"/>
      <c r="I30" s="20"/>
      <c r="J30" s="20"/>
      <c r="K30" s="20"/>
      <c r="L30" s="20">
        <v>69.94</v>
      </c>
      <c r="M30" s="20"/>
      <c r="N30" s="20"/>
      <c r="O30" s="20"/>
      <c r="P30" s="20"/>
      <c r="Q30" s="20"/>
      <c r="R30" s="20"/>
      <c r="V30" s="9"/>
      <c r="W30" s="9"/>
      <c r="X30" s="9">
        <v>30.06</v>
      </c>
      <c r="Z30" s="9"/>
      <c r="AA30" s="9"/>
      <c r="AB30" s="9"/>
      <c r="AC30" s="9"/>
      <c r="AD30" s="9"/>
      <c r="AE30" s="9"/>
      <c r="AF30" s="9"/>
      <c r="AG30" s="9"/>
      <c r="AH30" s="9"/>
      <c r="AI30" s="9"/>
      <c r="AJ30" s="9"/>
      <c r="AK30" s="9"/>
      <c r="AL30" s="9"/>
      <c r="AM30" s="9"/>
      <c r="AN30" s="9"/>
      <c r="AO30" s="9"/>
      <c r="AR30" s="25">
        <f t="shared" si="46"/>
        <v>100</v>
      </c>
      <c r="AS30" s="86"/>
      <c r="AT30" s="41">
        <f t="shared" si="47"/>
        <v>0</v>
      </c>
      <c r="AU30" s="21">
        <f t="shared" si="48"/>
        <v>0</v>
      </c>
      <c r="AV30" s="21">
        <f t="shared" si="49"/>
        <v>69.94</v>
      </c>
      <c r="AW30" s="20">
        <f t="shared" si="50"/>
        <v>0</v>
      </c>
      <c r="AX30" s="20">
        <f t="shared" si="51"/>
        <v>0</v>
      </c>
      <c r="AY30" s="85">
        <f t="shared" si="52"/>
        <v>100</v>
      </c>
      <c r="AZ30" s="85"/>
      <c r="BA30" s="45" t="s">
        <v>224</v>
      </c>
      <c r="BC30" s="84" t="s">
        <v>189</v>
      </c>
      <c r="BE30" s="50" t="s">
        <v>14</v>
      </c>
      <c r="BF30" s="83">
        <f t="shared" si="53"/>
        <v>1.8788674292143257</v>
      </c>
      <c r="BG30" s="50">
        <v>3</v>
      </c>
      <c r="BH30" s="50">
        <f t="shared" si="54"/>
        <v>0</v>
      </c>
      <c r="BI30" s="50">
        <f t="shared" si="55"/>
        <v>0</v>
      </c>
      <c r="BJ30" s="12"/>
      <c r="BK30" s="11">
        <f t="shared" si="56"/>
        <v>0</v>
      </c>
      <c r="BL30" s="11">
        <f t="shared" si="57"/>
        <v>0</v>
      </c>
      <c r="BM30" s="11">
        <f t="shared" si="58"/>
        <v>0</v>
      </c>
      <c r="BN30" s="11">
        <f t="shared" si="59"/>
        <v>0</v>
      </c>
      <c r="BO30" s="11">
        <f t="shared" si="60"/>
        <v>1.9997073808332839</v>
      </c>
      <c r="BP30" s="11">
        <f t="shared" si="61"/>
        <v>0</v>
      </c>
      <c r="BQ30" s="11">
        <f t="shared" si="62"/>
        <v>0</v>
      </c>
      <c r="BR30" s="11">
        <f t="shared" si="63"/>
        <v>0</v>
      </c>
      <c r="BS30" s="11">
        <f t="shared" si="64"/>
        <v>0</v>
      </c>
      <c r="BT30" s="11">
        <f t="shared" si="65"/>
        <v>0</v>
      </c>
      <c r="BU30" s="11">
        <f t="shared" si="66"/>
        <v>0</v>
      </c>
      <c r="BV30" s="11">
        <f t="shared" si="67"/>
        <v>0</v>
      </c>
      <c r="BW30" s="11">
        <f t="shared" si="68"/>
        <v>0</v>
      </c>
      <c r="BX30" s="56">
        <f t="shared" si="69"/>
        <v>0</v>
      </c>
      <c r="BY30" s="11">
        <f t="shared" si="70"/>
        <v>0</v>
      </c>
      <c r="BZ30" s="34">
        <f t="shared" si="71"/>
        <v>0</v>
      </c>
      <c r="CA30" s="11">
        <f t="shared" si="72"/>
        <v>0</v>
      </c>
      <c r="CB30" s="11">
        <f t="shared" si="73"/>
        <v>3</v>
      </c>
      <c r="CC30" s="54"/>
      <c r="CD30" s="56">
        <f t="shared" si="74"/>
        <v>0</v>
      </c>
      <c r="CE30" s="56">
        <f t="shared" si="75"/>
        <v>0</v>
      </c>
      <c r="CF30" s="56">
        <f t="shared" si="76"/>
        <v>0</v>
      </c>
      <c r="CG30" s="56">
        <f t="shared" si="77"/>
        <v>0</v>
      </c>
      <c r="CH30" s="56">
        <f t="shared" si="78"/>
        <v>0</v>
      </c>
      <c r="CI30" s="56">
        <f t="shared" si="79"/>
        <v>0</v>
      </c>
      <c r="CJ30" s="56">
        <f t="shared" si="80"/>
        <v>0</v>
      </c>
      <c r="CK30" s="56">
        <f t="shared" si="81"/>
        <v>0</v>
      </c>
      <c r="CL30" s="56">
        <f t="shared" si="82"/>
        <v>0</v>
      </c>
      <c r="CM30" s="56">
        <f t="shared" si="83"/>
        <v>0</v>
      </c>
      <c r="CN30" s="56">
        <f t="shared" si="84"/>
        <v>0</v>
      </c>
      <c r="CO30" s="56">
        <f t="shared" si="85"/>
        <v>0</v>
      </c>
      <c r="CP30" s="56">
        <f t="shared" si="86"/>
        <v>0</v>
      </c>
      <c r="CQ30" s="56">
        <f t="shared" si="87"/>
        <v>0</v>
      </c>
      <c r="CR30" s="56">
        <f t="shared" si="88"/>
        <v>0</v>
      </c>
      <c r="CS30" s="56">
        <f t="shared" si="89"/>
        <v>0</v>
      </c>
      <c r="CT30" s="54"/>
      <c r="CV30" s="107" t="str">
        <f t="shared" si="90"/>
        <v/>
      </c>
      <c r="CX30" s="12">
        <f t="shared" si="91"/>
        <v>1.9997073808332839</v>
      </c>
      <c r="CY30" s="12">
        <f t="shared" si="92"/>
        <v>3</v>
      </c>
    </row>
    <row r="31" spans="1:104" ht="16" customHeight="1">
      <c r="A31" s="4">
        <v>21</v>
      </c>
      <c r="B31" s="5" t="s">
        <v>223</v>
      </c>
      <c r="C31" s="15" t="s">
        <v>108</v>
      </c>
      <c r="H31" s="20"/>
      <c r="I31" s="20"/>
      <c r="J31" s="20"/>
      <c r="K31" s="20"/>
      <c r="L31" s="20">
        <v>72.36</v>
      </c>
      <c r="M31" s="20"/>
      <c r="N31" s="20"/>
      <c r="O31" s="20"/>
      <c r="P31" s="20"/>
      <c r="Q31" s="20"/>
      <c r="R31" s="20"/>
      <c r="U31" s="9"/>
      <c r="V31" s="9"/>
      <c r="W31" s="9"/>
      <c r="X31" s="9">
        <v>27.64</v>
      </c>
      <c r="Z31" s="9"/>
      <c r="AA31" s="9"/>
      <c r="AB31" s="9"/>
      <c r="AC31" s="9"/>
      <c r="AD31" s="9"/>
      <c r="AE31" s="9"/>
      <c r="AF31" s="9"/>
      <c r="AG31" s="9"/>
      <c r="AH31" s="9"/>
      <c r="AI31" s="9"/>
      <c r="AJ31" s="9"/>
      <c r="AK31" s="9"/>
      <c r="AL31" s="9"/>
      <c r="AM31" s="9"/>
      <c r="AN31" s="9"/>
      <c r="AO31" s="9"/>
      <c r="AR31" s="25">
        <f t="shared" si="46"/>
        <v>100</v>
      </c>
      <c r="AS31" s="86"/>
      <c r="AT31" s="41">
        <f t="shared" si="47"/>
        <v>0.66666666666666663</v>
      </c>
      <c r="AU31" s="21">
        <f t="shared" si="48"/>
        <v>48.239999999999995</v>
      </c>
      <c r="AV31" s="21">
        <f t="shared" si="49"/>
        <v>24.12</v>
      </c>
      <c r="AW31" s="20">
        <f t="shared" si="50"/>
        <v>0</v>
      </c>
      <c r="AX31" s="20">
        <f t="shared" si="51"/>
        <v>0</v>
      </c>
      <c r="AY31" s="85">
        <f t="shared" si="52"/>
        <v>100</v>
      </c>
      <c r="AZ31" s="85"/>
      <c r="BA31" s="45" t="s">
        <v>38</v>
      </c>
      <c r="BC31" s="84" t="s">
        <v>189</v>
      </c>
      <c r="BE31" s="50" t="s">
        <v>14</v>
      </c>
      <c r="BF31" s="83">
        <f t="shared" si="53"/>
        <v>1.7276079754984686</v>
      </c>
      <c r="BG31" s="50">
        <v>4</v>
      </c>
      <c r="BH31" s="50">
        <f t="shared" si="54"/>
        <v>0</v>
      </c>
      <c r="BI31" s="50">
        <f t="shared" si="55"/>
        <v>0</v>
      </c>
      <c r="BJ31" s="12"/>
      <c r="BK31" s="11">
        <f t="shared" si="56"/>
        <v>0</v>
      </c>
      <c r="BL31" s="11">
        <f t="shared" si="57"/>
        <v>0</v>
      </c>
      <c r="BM31" s="11">
        <f t="shared" si="58"/>
        <v>0</v>
      </c>
      <c r="BN31" s="11">
        <f t="shared" si="59"/>
        <v>0</v>
      </c>
      <c r="BO31" s="11">
        <f t="shared" si="60"/>
        <v>1.0000179585344438</v>
      </c>
      <c r="BP31" s="11">
        <f t="shared" si="61"/>
        <v>2.0000359170688871</v>
      </c>
      <c r="BQ31" s="11">
        <f t="shared" si="62"/>
        <v>0</v>
      </c>
      <c r="BR31" s="11">
        <f t="shared" si="63"/>
        <v>0</v>
      </c>
      <c r="BS31" s="11">
        <f t="shared" si="64"/>
        <v>0</v>
      </c>
      <c r="BT31" s="11">
        <f t="shared" si="65"/>
        <v>0</v>
      </c>
      <c r="BU31" s="11">
        <f t="shared" si="66"/>
        <v>0</v>
      </c>
      <c r="BV31" s="11">
        <f t="shared" si="67"/>
        <v>0</v>
      </c>
      <c r="BW31" s="11">
        <f t="shared" si="68"/>
        <v>0</v>
      </c>
      <c r="BX31" s="56">
        <f t="shared" si="69"/>
        <v>0</v>
      </c>
      <c r="BY31" s="11">
        <f t="shared" si="70"/>
        <v>0</v>
      </c>
      <c r="BZ31" s="34">
        <f t="shared" si="71"/>
        <v>0</v>
      </c>
      <c r="CA31" s="11">
        <f t="shared" si="72"/>
        <v>0</v>
      </c>
      <c r="CB31" s="11">
        <f t="shared" si="73"/>
        <v>4</v>
      </c>
      <c r="CC31" s="54"/>
      <c r="CD31" s="56">
        <f t="shared" si="74"/>
        <v>0</v>
      </c>
      <c r="CE31" s="56">
        <f t="shared" si="75"/>
        <v>0</v>
      </c>
      <c r="CF31" s="56">
        <f t="shared" si="76"/>
        <v>0</v>
      </c>
      <c r="CG31" s="56">
        <f t="shared" si="77"/>
        <v>0</v>
      </c>
      <c r="CH31" s="56">
        <f t="shared" si="78"/>
        <v>0</v>
      </c>
      <c r="CI31" s="56">
        <f t="shared" si="79"/>
        <v>0</v>
      </c>
      <c r="CJ31" s="56">
        <f t="shared" si="80"/>
        <v>0</v>
      </c>
      <c r="CK31" s="56">
        <f t="shared" si="81"/>
        <v>0</v>
      </c>
      <c r="CL31" s="56">
        <f t="shared" si="82"/>
        <v>0</v>
      </c>
      <c r="CM31" s="56">
        <f t="shared" si="83"/>
        <v>0</v>
      </c>
      <c r="CN31" s="56">
        <f t="shared" si="84"/>
        <v>0</v>
      </c>
      <c r="CO31" s="56">
        <f t="shared" si="85"/>
        <v>0</v>
      </c>
      <c r="CP31" s="56">
        <f t="shared" si="86"/>
        <v>0</v>
      </c>
      <c r="CQ31" s="56">
        <f t="shared" si="87"/>
        <v>0</v>
      </c>
      <c r="CR31" s="56">
        <f t="shared" si="88"/>
        <v>0</v>
      </c>
      <c r="CS31" s="56">
        <f t="shared" si="89"/>
        <v>0</v>
      </c>
      <c r="CT31" s="54"/>
      <c r="CV31" s="107" t="str">
        <f t="shared" si="90"/>
        <v/>
      </c>
      <c r="CX31" s="12">
        <f t="shared" si="91"/>
        <v>3.0000538756033306</v>
      </c>
      <c r="CY31" s="12">
        <f t="shared" si="92"/>
        <v>4</v>
      </c>
    </row>
    <row r="32" spans="1:104" ht="16" customHeight="1">
      <c r="A32" s="4">
        <v>22</v>
      </c>
      <c r="B32" s="5" t="s">
        <v>222</v>
      </c>
      <c r="C32" s="15" t="s">
        <v>108</v>
      </c>
      <c r="H32" s="20"/>
      <c r="I32" s="20"/>
      <c r="J32" s="20"/>
      <c r="K32" s="20"/>
      <c r="L32" s="20"/>
      <c r="M32" s="20"/>
      <c r="N32" s="20"/>
      <c r="O32" s="20"/>
      <c r="P32" s="20"/>
      <c r="Q32" s="20"/>
      <c r="R32" s="20"/>
      <c r="U32" s="9"/>
      <c r="V32" s="9"/>
      <c r="W32" s="9"/>
      <c r="X32" s="9">
        <v>11.18</v>
      </c>
      <c r="Z32" s="9"/>
      <c r="AA32" s="9">
        <v>88.82</v>
      </c>
      <c r="AB32" s="9"/>
      <c r="AC32" s="9"/>
      <c r="AD32" s="9"/>
      <c r="AE32" s="9"/>
      <c r="AF32" s="9"/>
      <c r="AG32" s="9"/>
      <c r="AH32" s="9"/>
      <c r="AI32" s="9"/>
      <c r="AJ32" s="9"/>
      <c r="AK32" s="9"/>
      <c r="AL32" s="9"/>
      <c r="AM32" s="9"/>
      <c r="AN32" s="9"/>
      <c r="AO32" s="9"/>
      <c r="AR32" s="25">
        <f t="shared" si="46"/>
        <v>100</v>
      </c>
      <c r="AS32" s="86"/>
      <c r="AT32" s="41">
        <f t="shared" si="47"/>
        <v>0</v>
      </c>
      <c r="AU32" s="21">
        <f t="shared" si="48"/>
        <v>0</v>
      </c>
      <c r="AV32" s="21">
        <f t="shared" si="49"/>
        <v>0</v>
      </c>
      <c r="AW32" s="20">
        <f t="shared" si="50"/>
        <v>0</v>
      </c>
      <c r="AX32" s="20">
        <f t="shared" si="51"/>
        <v>0</v>
      </c>
      <c r="AY32" s="85">
        <f t="shared" si="52"/>
        <v>100</v>
      </c>
      <c r="AZ32" s="85"/>
      <c r="BA32" s="45" t="s">
        <v>221</v>
      </c>
      <c r="BC32" s="84" t="s">
        <v>189</v>
      </c>
      <c r="BE32" s="50" t="s">
        <v>14</v>
      </c>
      <c r="BF32" s="83">
        <f t="shared" si="53"/>
        <v>0.6987936746046628</v>
      </c>
      <c r="BG32" s="50">
        <v>1</v>
      </c>
      <c r="BH32" s="50">
        <f t="shared" si="54"/>
        <v>0</v>
      </c>
      <c r="BI32" s="50">
        <f t="shared" si="55"/>
        <v>0</v>
      </c>
      <c r="BJ32" s="12"/>
      <c r="BK32" s="11">
        <f t="shared" si="56"/>
        <v>0</v>
      </c>
      <c r="BL32" s="11">
        <f t="shared" si="57"/>
        <v>0</v>
      </c>
      <c r="BM32" s="11">
        <f t="shared" si="58"/>
        <v>0</v>
      </c>
      <c r="BN32" s="11">
        <f t="shared" si="59"/>
        <v>0</v>
      </c>
      <c r="BO32" s="11">
        <f t="shared" si="60"/>
        <v>0</v>
      </c>
      <c r="BP32" s="11">
        <f t="shared" si="61"/>
        <v>0</v>
      </c>
      <c r="BQ32" s="11">
        <f t="shared" si="62"/>
        <v>0</v>
      </c>
      <c r="BR32" s="11">
        <f t="shared" si="63"/>
        <v>0</v>
      </c>
      <c r="BS32" s="11">
        <f t="shared" si="64"/>
        <v>0</v>
      </c>
      <c r="BT32" s="11">
        <f t="shared" si="65"/>
        <v>0</v>
      </c>
      <c r="BU32" s="11">
        <f t="shared" si="66"/>
        <v>0</v>
      </c>
      <c r="BV32" s="11">
        <f t="shared" si="67"/>
        <v>0</v>
      </c>
      <c r="BW32" s="11">
        <f t="shared" si="68"/>
        <v>0</v>
      </c>
      <c r="BX32" s="56">
        <f t="shared" si="69"/>
        <v>0</v>
      </c>
      <c r="BY32" s="11">
        <f t="shared" si="70"/>
        <v>0</v>
      </c>
      <c r="BZ32" s="34">
        <f t="shared" si="71"/>
        <v>0</v>
      </c>
      <c r="CA32" s="11">
        <f t="shared" si="72"/>
        <v>0</v>
      </c>
      <c r="CB32" s="11">
        <f t="shared" si="73"/>
        <v>1</v>
      </c>
      <c r="CC32" s="54"/>
      <c r="CD32" s="56">
        <f t="shared" si="74"/>
        <v>0</v>
      </c>
      <c r="CE32" s="56">
        <f t="shared" si="75"/>
        <v>2.0002007476223187</v>
      </c>
      <c r="CF32" s="56">
        <f t="shared" si="76"/>
        <v>0</v>
      </c>
      <c r="CG32" s="56">
        <f t="shared" si="77"/>
        <v>0</v>
      </c>
      <c r="CH32" s="56">
        <f t="shared" si="78"/>
        <v>0</v>
      </c>
      <c r="CI32" s="56">
        <f t="shared" si="79"/>
        <v>0</v>
      </c>
      <c r="CJ32" s="56">
        <f t="shared" si="80"/>
        <v>0</v>
      </c>
      <c r="CK32" s="56">
        <f t="shared" si="81"/>
        <v>0</v>
      </c>
      <c r="CL32" s="56">
        <f t="shared" si="82"/>
        <v>0</v>
      </c>
      <c r="CM32" s="56">
        <f t="shared" si="83"/>
        <v>0</v>
      </c>
      <c r="CN32" s="56">
        <f t="shared" si="84"/>
        <v>0</v>
      </c>
      <c r="CO32" s="56">
        <f t="shared" si="85"/>
        <v>0</v>
      </c>
      <c r="CP32" s="56">
        <f t="shared" si="86"/>
        <v>0</v>
      </c>
      <c r="CQ32" s="56">
        <f t="shared" si="87"/>
        <v>0</v>
      </c>
      <c r="CR32" s="56">
        <f t="shared" si="88"/>
        <v>0</v>
      </c>
      <c r="CS32" s="56">
        <f t="shared" si="89"/>
        <v>0</v>
      </c>
      <c r="CT32" s="54"/>
      <c r="CV32" s="107" t="str">
        <f t="shared" si="90"/>
        <v/>
      </c>
      <c r="CX32" s="12">
        <f t="shared" si="91"/>
        <v>2.0002007476223187</v>
      </c>
      <c r="CY32" s="12">
        <f t="shared" si="92"/>
        <v>1</v>
      </c>
    </row>
    <row r="33" spans="1:103" ht="16" customHeight="1">
      <c r="A33" s="4">
        <v>23</v>
      </c>
      <c r="B33" s="5" t="s">
        <v>220</v>
      </c>
      <c r="C33" s="15" t="s">
        <v>108</v>
      </c>
      <c r="H33" s="20"/>
      <c r="I33" s="20"/>
      <c r="J33" s="20">
        <v>42.5</v>
      </c>
      <c r="K33" s="20"/>
      <c r="L33" s="20"/>
      <c r="M33" s="20"/>
      <c r="N33" s="20"/>
      <c r="O33" s="20"/>
      <c r="P33" s="20"/>
      <c r="Q33" s="20"/>
      <c r="R33" s="20"/>
      <c r="U33" s="9"/>
      <c r="V33" s="9"/>
      <c r="W33" s="9"/>
      <c r="X33" s="9">
        <v>50.4</v>
      </c>
      <c r="Z33" s="9"/>
      <c r="AA33" s="9"/>
      <c r="AB33" s="9">
        <v>7.1</v>
      </c>
      <c r="AC33" s="9"/>
      <c r="AD33" s="9"/>
      <c r="AE33" s="9"/>
      <c r="AF33" s="9"/>
      <c r="AG33" s="9"/>
      <c r="AH33" s="9"/>
      <c r="AI33" s="9"/>
      <c r="AJ33" s="9"/>
      <c r="AK33" s="9"/>
      <c r="AL33" s="9"/>
      <c r="AM33" s="9"/>
      <c r="AN33" s="9"/>
      <c r="AO33" s="9"/>
      <c r="AR33" s="25">
        <f t="shared" si="46"/>
        <v>100</v>
      </c>
      <c r="AS33" s="86"/>
      <c r="AT33" s="41">
        <f t="shared" si="47"/>
        <v>0</v>
      </c>
      <c r="AU33" s="21">
        <f t="shared" si="48"/>
        <v>0</v>
      </c>
      <c r="AV33" s="21">
        <f t="shared" si="49"/>
        <v>0</v>
      </c>
      <c r="AW33" s="20">
        <f t="shared" si="50"/>
        <v>0</v>
      </c>
      <c r="AX33" s="20">
        <f t="shared" si="51"/>
        <v>0</v>
      </c>
      <c r="AY33" s="85">
        <f t="shared" si="52"/>
        <v>100</v>
      </c>
      <c r="AZ33" s="85"/>
      <c r="BA33" s="45" t="s">
        <v>197</v>
      </c>
      <c r="BC33" s="84" t="s">
        <v>189</v>
      </c>
      <c r="BE33" s="50" t="s">
        <v>14</v>
      </c>
      <c r="BF33" s="83">
        <f t="shared" si="53"/>
        <v>3.1501968873054564</v>
      </c>
      <c r="BG33" s="50">
        <v>4</v>
      </c>
      <c r="BH33" s="50">
        <f t="shared" si="54"/>
        <v>0</v>
      </c>
      <c r="BI33" s="50">
        <f t="shared" si="55"/>
        <v>0</v>
      </c>
      <c r="BJ33" s="12"/>
      <c r="BK33" s="11">
        <f t="shared" si="56"/>
        <v>0</v>
      </c>
      <c r="BL33" s="11">
        <f t="shared" si="57"/>
        <v>0</v>
      </c>
      <c r="BM33" s="11">
        <f t="shared" si="58"/>
        <v>2.0000668217028297</v>
      </c>
      <c r="BN33" s="11">
        <f t="shared" si="59"/>
        <v>0</v>
      </c>
      <c r="BO33" s="11">
        <f t="shared" si="60"/>
        <v>0</v>
      </c>
      <c r="BP33" s="11">
        <f t="shared" si="61"/>
        <v>0</v>
      </c>
      <c r="BQ33" s="11">
        <f t="shared" si="62"/>
        <v>0</v>
      </c>
      <c r="BR33" s="11">
        <f t="shared" si="63"/>
        <v>0</v>
      </c>
      <c r="BS33" s="11">
        <f t="shared" si="64"/>
        <v>0</v>
      </c>
      <c r="BT33" s="11">
        <f t="shared" si="65"/>
        <v>0</v>
      </c>
      <c r="BU33" s="11">
        <f t="shared" si="66"/>
        <v>0</v>
      </c>
      <c r="BV33" s="11">
        <f t="shared" si="67"/>
        <v>0</v>
      </c>
      <c r="BW33" s="11">
        <f t="shared" si="68"/>
        <v>0</v>
      </c>
      <c r="BX33" s="56">
        <f t="shared" si="69"/>
        <v>0</v>
      </c>
      <c r="BY33" s="11">
        <f t="shared" si="70"/>
        <v>0</v>
      </c>
      <c r="BZ33" s="34">
        <f t="shared" si="71"/>
        <v>0</v>
      </c>
      <c r="CA33" s="11">
        <f t="shared" si="72"/>
        <v>0</v>
      </c>
      <c r="CB33" s="11">
        <f t="shared" si="73"/>
        <v>4</v>
      </c>
      <c r="CC33" s="54"/>
      <c r="CD33" s="56">
        <f t="shared" si="74"/>
        <v>0</v>
      </c>
      <c r="CE33" s="56">
        <f t="shared" si="75"/>
        <v>0</v>
      </c>
      <c r="CF33" s="56">
        <f t="shared" si="76"/>
        <v>1.0003470329171698</v>
      </c>
      <c r="CG33" s="56">
        <f t="shared" si="77"/>
        <v>0</v>
      </c>
      <c r="CH33" s="56">
        <f t="shared" si="78"/>
        <v>0</v>
      </c>
      <c r="CI33" s="56">
        <f t="shared" si="79"/>
        <v>0</v>
      </c>
      <c r="CJ33" s="56">
        <f t="shared" si="80"/>
        <v>0</v>
      </c>
      <c r="CK33" s="56">
        <f t="shared" si="81"/>
        <v>0</v>
      </c>
      <c r="CL33" s="56">
        <f t="shared" si="82"/>
        <v>0</v>
      </c>
      <c r="CM33" s="56">
        <f t="shared" si="83"/>
        <v>0</v>
      </c>
      <c r="CN33" s="56">
        <f t="shared" si="84"/>
        <v>0</v>
      </c>
      <c r="CO33" s="56">
        <f t="shared" si="85"/>
        <v>0</v>
      </c>
      <c r="CP33" s="56">
        <f t="shared" si="86"/>
        <v>0</v>
      </c>
      <c r="CQ33" s="56">
        <f t="shared" si="87"/>
        <v>0</v>
      </c>
      <c r="CR33" s="56">
        <f t="shared" si="88"/>
        <v>0</v>
      </c>
      <c r="CS33" s="56">
        <f t="shared" si="89"/>
        <v>0</v>
      </c>
      <c r="CT33" s="54"/>
      <c r="CV33" s="107" t="str">
        <f t="shared" si="90"/>
        <v/>
      </c>
      <c r="CX33" s="12">
        <f t="shared" si="91"/>
        <v>3.0004138546199997</v>
      </c>
      <c r="CY33" s="12">
        <f t="shared" si="92"/>
        <v>4</v>
      </c>
    </row>
    <row r="34" spans="1:103" ht="16" customHeight="1">
      <c r="A34" s="4">
        <v>24</v>
      </c>
      <c r="B34" s="17" t="s">
        <v>219</v>
      </c>
      <c r="C34" s="15" t="s">
        <v>108</v>
      </c>
      <c r="H34" s="20"/>
      <c r="I34" s="20"/>
      <c r="J34" s="20"/>
      <c r="K34" s="20"/>
      <c r="L34" s="20"/>
      <c r="M34" s="20"/>
      <c r="N34" s="20"/>
      <c r="O34" s="20"/>
      <c r="P34" s="20"/>
      <c r="Q34" s="20"/>
      <c r="R34" s="20"/>
      <c r="U34" s="9"/>
      <c r="V34" s="9"/>
      <c r="W34" s="9"/>
      <c r="X34" s="9">
        <v>17.43</v>
      </c>
      <c r="Z34" s="9"/>
      <c r="AA34" s="9"/>
      <c r="AB34" s="9"/>
      <c r="AC34" s="9"/>
      <c r="AD34" s="9"/>
      <c r="AE34" s="9">
        <v>56.44</v>
      </c>
      <c r="AF34" s="9"/>
      <c r="AG34" s="9"/>
      <c r="AH34" s="9"/>
      <c r="AI34" s="9"/>
      <c r="AJ34" s="9">
        <v>26.13</v>
      </c>
      <c r="AK34" s="9"/>
      <c r="AL34" s="9"/>
      <c r="AM34" s="9"/>
      <c r="AN34" s="9"/>
      <c r="AO34" s="9"/>
      <c r="AR34" s="25">
        <f t="shared" si="46"/>
        <v>100</v>
      </c>
      <c r="AS34" s="86"/>
      <c r="AT34" s="41">
        <f t="shared" si="47"/>
        <v>0</v>
      </c>
      <c r="AU34" s="21">
        <f t="shared" si="48"/>
        <v>0</v>
      </c>
      <c r="AV34" s="21">
        <f t="shared" si="49"/>
        <v>0</v>
      </c>
      <c r="AW34" s="20">
        <f t="shared" si="50"/>
        <v>0</v>
      </c>
      <c r="AX34" s="20">
        <f t="shared" si="51"/>
        <v>0</v>
      </c>
      <c r="AY34" s="85">
        <f t="shared" si="52"/>
        <v>100</v>
      </c>
      <c r="AZ34" s="85"/>
      <c r="BA34" s="88" t="s">
        <v>218</v>
      </c>
      <c r="BC34" s="84" t="s">
        <v>189</v>
      </c>
      <c r="BE34" s="50" t="s">
        <v>14</v>
      </c>
      <c r="BF34" s="83">
        <f t="shared" si="53"/>
        <v>1.0894430901931371</v>
      </c>
      <c r="BG34" s="50">
        <v>4</v>
      </c>
      <c r="BH34" s="50">
        <f t="shared" si="54"/>
        <v>0</v>
      </c>
      <c r="BI34" s="50">
        <f t="shared" si="55"/>
        <v>0</v>
      </c>
      <c r="BJ34" s="12"/>
      <c r="BK34" s="11">
        <f t="shared" si="56"/>
        <v>0</v>
      </c>
      <c r="BL34" s="11">
        <f t="shared" si="57"/>
        <v>0</v>
      </c>
      <c r="BM34" s="11">
        <f t="shared" si="58"/>
        <v>0</v>
      </c>
      <c r="BN34" s="11">
        <f t="shared" si="59"/>
        <v>0</v>
      </c>
      <c r="BO34" s="11">
        <f t="shared" si="60"/>
        <v>0</v>
      </c>
      <c r="BP34" s="11">
        <f t="shared" si="61"/>
        <v>0</v>
      </c>
      <c r="BQ34" s="11">
        <f t="shared" si="62"/>
        <v>0</v>
      </c>
      <c r="BR34" s="11">
        <f t="shared" si="63"/>
        <v>0</v>
      </c>
      <c r="BS34" s="11">
        <f t="shared" si="64"/>
        <v>0</v>
      </c>
      <c r="BT34" s="11">
        <f t="shared" si="65"/>
        <v>0</v>
      </c>
      <c r="BU34" s="11">
        <f t="shared" si="66"/>
        <v>0</v>
      </c>
      <c r="BV34" s="11">
        <f t="shared" si="67"/>
        <v>0</v>
      </c>
      <c r="BW34" s="11">
        <f t="shared" si="68"/>
        <v>0</v>
      </c>
      <c r="BX34" s="56">
        <f t="shared" si="69"/>
        <v>0</v>
      </c>
      <c r="BY34" s="11">
        <f t="shared" si="70"/>
        <v>0</v>
      </c>
      <c r="BZ34" s="34">
        <f t="shared" si="71"/>
        <v>0</v>
      </c>
      <c r="CA34" s="11">
        <f t="shared" si="72"/>
        <v>0</v>
      </c>
      <c r="CB34" s="11">
        <f t="shared" si="73"/>
        <v>4</v>
      </c>
      <c r="CC34" s="54"/>
      <c r="CD34" s="56">
        <f t="shared" si="74"/>
        <v>0</v>
      </c>
      <c r="CE34" s="56">
        <f t="shared" si="75"/>
        <v>0</v>
      </c>
      <c r="CF34" s="56">
        <f t="shared" si="76"/>
        <v>0</v>
      </c>
      <c r="CG34" s="56">
        <f t="shared" si="77"/>
        <v>0</v>
      </c>
      <c r="CH34" s="56">
        <f t="shared" si="78"/>
        <v>0</v>
      </c>
      <c r="CI34" s="56">
        <f t="shared" si="79"/>
        <v>1.0001213458356315</v>
      </c>
      <c r="CJ34" s="56">
        <f t="shared" si="80"/>
        <v>0</v>
      </c>
      <c r="CK34" s="56">
        <f t="shared" si="81"/>
        <v>0</v>
      </c>
      <c r="CL34" s="56">
        <f t="shared" si="82"/>
        <v>0</v>
      </c>
      <c r="CM34" s="56">
        <f t="shared" si="83"/>
        <v>0</v>
      </c>
      <c r="CN34" s="56">
        <f t="shared" si="84"/>
        <v>0.99988458561410076</v>
      </c>
      <c r="CO34" s="56">
        <f t="shared" si="85"/>
        <v>0</v>
      </c>
      <c r="CP34" s="56">
        <f t="shared" si="86"/>
        <v>0</v>
      </c>
      <c r="CQ34" s="56">
        <f t="shared" si="87"/>
        <v>0</v>
      </c>
      <c r="CR34" s="56">
        <f t="shared" si="88"/>
        <v>0</v>
      </c>
      <c r="CS34" s="56">
        <f t="shared" si="89"/>
        <v>0</v>
      </c>
      <c r="CT34" s="54"/>
      <c r="CV34" s="107" t="str">
        <f t="shared" si="90"/>
        <v/>
      </c>
      <c r="CX34" s="12">
        <f t="shared" si="91"/>
        <v>2.0000059314497323</v>
      </c>
      <c r="CY34" s="12">
        <f t="shared" si="92"/>
        <v>4</v>
      </c>
    </row>
    <row r="35" spans="1:103" ht="16" customHeight="1">
      <c r="A35" s="4">
        <v>25</v>
      </c>
      <c r="B35" s="17" t="s">
        <v>217</v>
      </c>
      <c r="C35" s="15" t="s">
        <v>108</v>
      </c>
      <c r="H35" s="20"/>
      <c r="I35" s="20"/>
      <c r="J35" s="20"/>
      <c r="K35" s="20"/>
      <c r="L35" s="20"/>
      <c r="M35" s="20"/>
      <c r="N35" s="20"/>
      <c r="O35" s="20"/>
      <c r="P35" s="20"/>
      <c r="Q35" s="20"/>
      <c r="R35" s="20"/>
      <c r="S35" s="20"/>
      <c r="T35" s="20"/>
      <c r="U35" s="9"/>
      <c r="V35" s="9"/>
      <c r="W35" s="9"/>
      <c r="X35" s="9">
        <v>17.96</v>
      </c>
      <c r="Z35" s="9"/>
      <c r="AA35" s="9"/>
      <c r="AB35" s="9"/>
      <c r="AC35" s="9"/>
      <c r="AD35" s="9"/>
      <c r="AE35" s="9">
        <v>77.540000000000006</v>
      </c>
      <c r="AF35" s="9"/>
      <c r="AG35" s="9"/>
      <c r="AH35" s="9"/>
      <c r="AI35" s="9"/>
      <c r="AJ35" s="9"/>
      <c r="AK35" s="9"/>
      <c r="AL35" s="9"/>
      <c r="AM35" s="9"/>
      <c r="AN35" s="9"/>
      <c r="AO35" s="9"/>
      <c r="AR35" s="25">
        <f t="shared" si="46"/>
        <v>95.5</v>
      </c>
      <c r="AS35" s="86"/>
      <c r="AT35" s="41">
        <f t="shared" si="47"/>
        <v>0</v>
      </c>
      <c r="AU35" s="21">
        <f t="shared" si="48"/>
        <v>0</v>
      </c>
      <c r="AV35" s="21">
        <f t="shared" si="49"/>
        <v>0</v>
      </c>
      <c r="AW35" s="20">
        <f t="shared" si="50"/>
        <v>0</v>
      </c>
      <c r="AX35" s="20">
        <f t="shared" si="51"/>
        <v>4.4943967331291539</v>
      </c>
      <c r="AY35" s="85">
        <f t="shared" si="52"/>
        <v>99.99439673312915</v>
      </c>
      <c r="AZ35" s="85"/>
      <c r="BA35" s="45" t="s">
        <v>39</v>
      </c>
      <c r="BC35" s="84" t="s">
        <v>189</v>
      </c>
      <c r="BE35" s="50" t="s">
        <v>14</v>
      </c>
      <c r="BF35" s="83">
        <f t="shared" si="53"/>
        <v>1.1225701606350398</v>
      </c>
      <c r="BG35" s="50">
        <v>3</v>
      </c>
      <c r="BH35" s="50">
        <f t="shared" si="54"/>
        <v>0</v>
      </c>
      <c r="BI35" s="50">
        <f t="shared" si="55"/>
        <v>1</v>
      </c>
      <c r="BJ35" s="12"/>
      <c r="BK35" s="11">
        <f t="shared" si="56"/>
        <v>0</v>
      </c>
      <c r="BL35" s="11">
        <f t="shared" si="57"/>
        <v>0</v>
      </c>
      <c r="BM35" s="11">
        <f t="shared" si="58"/>
        <v>0</v>
      </c>
      <c r="BN35" s="11">
        <f t="shared" si="59"/>
        <v>0</v>
      </c>
      <c r="BO35" s="11">
        <f t="shared" si="60"/>
        <v>0</v>
      </c>
      <c r="BP35" s="11">
        <f t="shared" si="61"/>
        <v>0</v>
      </c>
      <c r="BQ35" s="11">
        <f t="shared" si="62"/>
        <v>0</v>
      </c>
      <c r="BR35" s="11">
        <f t="shared" si="63"/>
        <v>0</v>
      </c>
      <c r="BS35" s="11">
        <f t="shared" si="64"/>
        <v>0</v>
      </c>
      <c r="BT35" s="11">
        <f t="shared" si="65"/>
        <v>0</v>
      </c>
      <c r="BU35" s="11">
        <f t="shared" si="66"/>
        <v>0</v>
      </c>
      <c r="BV35" s="11">
        <f t="shared" si="67"/>
        <v>0</v>
      </c>
      <c r="BW35" s="11">
        <f t="shared" si="68"/>
        <v>0</v>
      </c>
      <c r="BX35" s="56">
        <f t="shared" si="69"/>
        <v>0</v>
      </c>
      <c r="BY35" s="11">
        <f t="shared" si="70"/>
        <v>0</v>
      </c>
      <c r="BZ35" s="34">
        <f t="shared" si="71"/>
        <v>0</v>
      </c>
      <c r="CA35" s="11">
        <f t="shared" si="72"/>
        <v>0</v>
      </c>
      <c r="CB35" s="11">
        <f t="shared" si="73"/>
        <v>3</v>
      </c>
      <c r="CC35" s="54"/>
      <c r="CD35" s="56">
        <f t="shared" si="74"/>
        <v>0</v>
      </c>
      <c r="CE35" s="56">
        <f t="shared" si="75"/>
        <v>0</v>
      </c>
      <c r="CF35" s="56">
        <f t="shared" si="76"/>
        <v>0</v>
      </c>
      <c r="CG35" s="56">
        <f t="shared" si="77"/>
        <v>0</v>
      </c>
      <c r="CH35" s="56">
        <f t="shared" si="78"/>
        <v>0</v>
      </c>
      <c r="CI35" s="56">
        <f t="shared" si="79"/>
        <v>1.0001008730254275</v>
      </c>
      <c r="CJ35" s="56">
        <f t="shared" si="80"/>
        <v>0</v>
      </c>
      <c r="CK35" s="56">
        <f t="shared" si="81"/>
        <v>0</v>
      </c>
      <c r="CL35" s="56">
        <f t="shared" si="82"/>
        <v>0</v>
      </c>
      <c r="CM35" s="56">
        <f t="shared" si="83"/>
        <v>0</v>
      </c>
      <c r="CN35" s="56">
        <f t="shared" si="84"/>
        <v>0</v>
      </c>
      <c r="CO35" s="56">
        <f t="shared" si="85"/>
        <v>0</v>
      </c>
      <c r="CP35" s="56">
        <f t="shared" si="86"/>
        <v>0</v>
      </c>
      <c r="CQ35" s="56">
        <f t="shared" si="87"/>
        <v>0</v>
      </c>
      <c r="CR35" s="56">
        <f t="shared" si="88"/>
        <v>0</v>
      </c>
      <c r="CS35" s="56">
        <f t="shared" si="89"/>
        <v>0</v>
      </c>
      <c r="CT35" s="54"/>
      <c r="CV35" s="107" t="str">
        <f t="shared" si="90"/>
        <v/>
      </c>
      <c r="CX35" s="12">
        <f t="shared" si="91"/>
        <v>1.0001008730254275</v>
      </c>
      <c r="CY35" s="12">
        <f t="shared" si="92"/>
        <v>3</v>
      </c>
    </row>
    <row r="36" spans="1:103" ht="16" customHeight="1">
      <c r="A36" s="4">
        <v>26</v>
      </c>
      <c r="B36" s="17" t="s">
        <v>216</v>
      </c>
      <c r="C36" s="15" t="s">
        <v>108</v>
      </c>
      <c r="H36" s="20"/>
      <c r="I36" s="20"/>
      <c r="J36" s="20"/>
      <c r="K36" s="20"/>
      <c r="L36" s="20"/>
      <c r="M36" s="20"/>
      <c r="N36" s="20"/>
      <c r="O36" s="20"/>
      <c r="P36" s="20"/>
      <c r="Q36" s="20"/>
      <c r="R36" s="20"/>
      <c r="S36" s="20"/>
      <c r="T36" s="20"/>
      <c r="U36" s="9"/>
      <c r="V36" s="9"/>
      <c r="W36" s="9">
        <v>2.5</v>
      </c>
      <c r="X36" s="9">
        <v>13.56</v>
      </c>
      <c r="Z36" s="9"/>
      <c r="AA36" s="9"/>
      <c r="AB36" s="9"/>
      <c r="AC36" s="9"/>
      <c r="AD36" s="9"/>
      <c r="AE36" s="9">
        <v>73.150000000000006</v>
      </c>
      <c r="AF36" s="9">
        <v>10.79</v>
      </c>
      <c r="AG36" s="9"/>
      <c r="AH36" s="9"/>
      <c r="AI36" s="9"/>
      <c r="AJ36" s="9"/>
      <c r="AK36" s="9"/>
      <c r="AL36" s="9"/>
      <c r="AM36" s="9"/>
      <c r="AN36" s="9"/>
      <c r="AO36" s="9"/>
      <c r="AR36" s="25">
        <f t="shared" si="46"/>
        <v>100</v>
      </c>
      <c r="AS36" s="86"/>
      <c r="AT36" s="41">
        <f t="shared" si="47"/>
        <v>0</v>
      </c>
      <c r="AU36" s="21">
        <f t="shared" si="48"/>
        <v>0</v>
      </c>
      <c r="AV36" s="21">
        <f t="shared" si="49"/>
        <v>0</v>
      </c>
      <c r="AW36" s="20">
        <f t="shared" si="50"/>
        <v>0</v>
      </c>
      <c r="AX36" s="20">
        <f t="shared" si="51"/>
        <v>0</v>
      </c>
      <c r="AY36" s="85">
        <f t="shared" si="52"/>
        <v>100</v>
      </c>
      <c r="AZ36" s="85"/>
      <c r="BA36" s="87" t="s">
        <v>215</v>
      </c>
      <c r="BC36" s="84" t="s">
        <v>189</v>
      </c>
      <c r="BE36" s="50" t="s">
        <v>14</v>
      </c>
      <c r="BF36" s="83">
        <f t="shared" si="53"/>
        <v>0.84755297206075375</v>
      </c>
      <c r="BG36" s="50">
        <v>12</v>
      </c>
      <c r="BH36" s="50">
        <f t="shared" si="54"/>
        <v>0</v>
      </c>
      <c r="BI36" s="50">
        <f t="shared" si="55"/>
        <v>0</v>
      </c>
      <c r="BJ36" s="12"/>
      <c r="BK36" s="11">
        <f t="shared" si="56"/>
        <v>0</v>
      </c>
      <c r="BL36" s="11">
        <f t="shared" si="57"/>
        <v>0</v>
      </c>
      <c r="BM36" s="11">
        <f t="shared" si="58"/>
        <v>0</v>
      </c>
      <c r="BN36" s="11">
        <f t="shared" si="59"/>
        <v>0</v>
      </c>
      <c r="BO36" s="11">
        <f t="shared" si="60"/>
        <v>0</v>
      </c>
      <c r="BP36" s="11">
        <f t="shared" si="61"/>
        <v>0</v>
      </c>
      <c r="BQ36" s="11">
        <f t="shared" si="62"/>
        <v>0</v>
      </c>
      <c r="BR36" s="11">
        <f t="shared" si="63"/>
        <v>0</v>
      </c>
      <c r="BS36" s="11">
        <f t="shared" si="64"/>
        <v>0</v>
      </c>
      <c r="BT36" s="11">
        <f t="shared" si="65"/>
        <v>0</v>
      </c>
      <c r="BU36" s="11">
        <f t="shared" si="66"/>
        <v>0</v>
      </c>
      <c r="BV36" s="11">
        <f t="shared" si="67"/>
        <v>0</v>
      </c>
      <c r="BW36" s="11">
        <f t="shared" si="68"/>
        <v>0</v>
      </c>
      <c r="BX36" s="56">
        <f t="shared" si="69"/>
        <v>0</v>
      </c>
      <c r="BY36" s="11">
        <f t="shared" si="70"/>
        <v>0</v>
      </c>
      <c r="BZ36" s="34">
        <f t="shared" si="71"/>
        <v>0</v>
      </c>
      <c r="CA36" s="11">
        <f t="shared" si="72"/>
        <v>0.99839273683792751</v>
      </c>
      <c r="CB36" s="11">
        <f t="shared" si="73"/>
        <v>11.999999999999998</v>
      </c>
      <c r="CC36" s="54"/>
      <c r="CD36" s="56">
        <f t="shared" si="74"/>
        <v>0</v>
      </c>
      <c r="CE36" s="56">
        <f t="shared" si="75"/>
        <v>0</v>
      </c>
      <c r="CF36" s="56">
        <f t="shared" si="76"/>
        <v>0</v>
      </c>
      <c r="CG36" s="56">
        <f t="shared" si="77"/>
        <v>0</v>
      </c>
      <c r="CH36" s="56">
        <f t="shared" si="78"/>
        <v>0</v>
      </c>
      <c r="CI36" s="56">
        <f t="shared" si="79"/>
        <v>4.9984916885912467</v>
      </c>
      <c r="CJ36" s="56">
        <f t="shared" si="80"/>
        <v>2.9989146842825702</v>
      </c>
      <c r="CK36" s="56">
        <f t="shared" si="81"/>
        <v>0</v>
      </c>
      <c r="CL36" s="56">
        <f t="shared" si="82"/>
        <v>0</v>
      </c>
      <c r="CM36" s="56">
        <f t="shared" si="83"/>
        <v>0</v>
      </c>
      <c r="CN36" s="56">
        <f t="shared" si="84"/>
        <v>0</v>
      </c>
      <c r="CO36" s="56">
        <f t="shared" si="85"/>
        <v>0</v>
      </c>
      <c r="CP36" s="56">
        <f t="shared" si="86"/>
        <v>0</v>
      </c>
      <c r="CQ36" s="56">
        <f t="shared" si="87"/>
        <v>0</v>
      </c>
      <c r="CR36" s="56">
        <f t="shared" si="88"/>
        <v>0</v>
      </c>
      <c r="CS36" s="56">
        <f t="shared" si="89"/>
        <v>0</v>
      </c>
      <c r="CT36" s="54"/>
      <c r="CV36" s="107" t="str">
        <f t="shared" si="90"/>
        <v/>
      </c>
      <c r="CX36" s="12">
        <f t="shared" si="91"/>
        <v>7.9974063728738169</v>
      </c>
      <c r="CY36" s="12">
        <f t="shared" si="92"/>
        <v>12.998392736837925</v>
      </c>
    </row>
    <row r="37" spans="1:103" ht="16" customHeight="1">
      <c r="A37" s="4">
        <v>27</v>
      </c>
      <c r="B37" s="17" t="s">
        <v>131</v>
      </c>
      <c r="C37" s="15" t="s">
        <v>108</v>
      </c>
      <c r="H37" s="20"/>
      <c r="I37" s="20"/>
      <c r="J37" s="20"/>
      <c r="K37" s="20"/>
      <c r="L37" s="20"/>
      <c r="M37" s="20"/>
      <c r="N37" s="20"/>
      <c r="O37" s="20"/>
      <c r="P37" s="20"/>
      <c r="Q37" s="20">
        <v>39.36</v>
      </c>
      <c r="R37" s="20"/>
      <c r="S37" s="20"/>
      <c r="T37" s="20">
        <v>18.25</v>
      </c>
      <c r="U37" s="9"/>
      <c r="V37" s="9">
        <v>1.24</v>
      </c>
      <c r="W37" s="9">
        <v>2.3199999999999998</v>
      </c>
      <c r="X37" s="9">
        <v>38.76</v>
      </c>
      <c r="Z37" s="9"/>
      <c r="AA37" s="9"/>
      <c r="AB37" s="9"/>
      <c r="AC37" s="9"/>
      <c r="AD37" s="9"/>
      <c r="AE37" s="9"/>
      <c r="AF37" s="9"/>
      <c r="AG37" s="9"/>
      <c r="AH37" s="9"/>
      <c r="AI37" s="9"/>
      <c r="AJ37" s="9"/>
      <c r="AK37" s="9"/>
      <c r="AL37" s="9"/>
      <c r="AM37" s="9"/>
      <c r="AN37" s="9"/>
      <c r="AO37" s="9"/>
      <c r="AR37" s="25">
        <f t="shared" si="46"/>
        <v>99.93</v>
      </c>
      <c r="AS37" s="86"/>
      <c r="AT37" s="41">
        <f t="shared" si="47"/>
        <v>0</v>
      </c>
      <c r="AU37" s="21">
        <f t="shared" si="48"/>
        <v>0</v>
      </c>
      <c r="AV37" s="21">
        <f t="shared" si="49"/>
        <v>0</v>
      </c>
      <c r="AW37" s="20">
        <f t="shared" si="50"/>
        <v>0</v>
      </c>
      <c r="AX37" s="20">
        <f t="shared" si="51"/>
        <v>0</v>
      </c>
      <c r="AY37" s="85">
        <f t="shared" si="52"/>
        <v>99.93</v>
      </c>
      <c r="AZ37" s="85"/>
      <c r="BA37" s="45" t="s">
        <v>214</v>
      </c>
      <c r="BC37" s="84" t="s">
        <v>189</v>
      </c>
      <c r="BE37" s="50" t="s">
        <v>14</v>
      </c>
      <c r="BF37" s="83">
        <f t="shared" si="53"/>
        <v>2.422651415713482</v>
      </c>
      <c r="BG37" s="50">
        <f>12+1/3</f>
        <v>12.333333333333334</v>
      </c>
      <c r="BH37" s="50">
        <f t="shared" si="54"/>
        <v>0</v>
      </c>
      <c r="BI37" s="50">
        <f t="shared" si="55"/>
        <v>0</v>
      </c>
      <c r="BJ37" s="12"/>
      <c r="BK37" s="11">
        <f t="shared" si="56"/>
        <v>0</v>
      </c>
      <c r="BL37" s="11">
        <f t="shared" si="57"/>
        <v>0</v>
      </c>
      <c r="BM37" s="11">
        <f t="shared" si="58"/>
        <v>0</v>
      </c>
      <c r="BN37" s="11">
        <f t="shared" si="59"/>
        <v>0</v>
      </c>
      <c r="BO37" s="11">
        <f t="shared" si="60"/>
        <v>0</v>
      </c>
      <c r="BP37" s="11">
        <f t="shared" si="61"/>
        <v>0</v>
      </c>
      <c r="BQ37" s="11">
        <f t="shared" si="62"/>
        <v>0</v>
      </c>
      <c r="BR37" s="11">
        <f t="shared" si="63"/>
        <v>0</v>
      </c>
      <c r="BS37" s="11">
        <f t="shared" si="64"/>
        <v>0</v>
      </c>
      <c r="BT37" s="11">
        <f t="shared" si="65"/>
        <v>0</v>
      </c>
      <c r="BU37" s="11">
        <f t="shared" si="66"/>
        <v>4.9996383213723945</v>
      </c>
      <c r="BV37" s="11">
        <f t="shared" si="67"/>
        <v>0</v>
      </c>
      <c r="BW37" s="11">
        <f t="shared" si="68"/>
        <v>0</v>
      </c>
      <c r="BX37" s="56">
        <f t="shared" si="69"/>
        <v>2.376263151779062</v>
      </c>
      <c r="BY37" s="11">
        <f t="shared" si="70"/>
        <v>0</v>
      </c>
      <c r="BZ37" s="34">
        <f t="shared" si="71"/>
        <v>0.33227234561102797</v>
      </c>
      <c r="CA37" s="11">
        <f t="shared" si="72"/>
        <v>0.33313827574506188</v>
      </c>
      <c r="CB37" s="11">
        <f t="shared" si="73"/>
        <v>12.333333333333334</v>
      </c>
      <c r="CC37" s="54"/>
      <c r="CD37" s="56">
        <f t="shared" si="74"/>
        <v>0</v>
      </c>
      <c r="CE37" s="56">
        <f t="shared" si="75"/>
        <v>0</v>
      </c>
      <c r="CF37" s="56">
        <f t="shared" si="76"/>
        <v>0</v>
      </c>
      <c r="CG37" s="56">
        <f t="shared" si="77"/>
        <v>0</v>
      </c>
      <c r="CH37" s="56">
        <f t="shared" si="78"/>
        <v>0</v>
      </c>
      <c r="CI37" s="56">
        <f t="shared" si="79"/>
        <v>0</v>
      </c>
      <c r="CJ37" s="56">
        <f t="shared" si="80"/>
        <v>0</v>
      </c>
      <c r="CK37" s="56">
        <f t="shared" si="81"/>
        <v>0</v>
      </c>
      <c r="CL37" s="56">
        <f t="shared" si="82"/>
        <v>0</v>
      </c>
      <c r="CM37" s="56">
        <f t="shared" si="83"/>
        <v>0</v>
      </c>
      <c r="CN37" s="56">
        <f t="shared" si="84"/>
        <v>0</v>
      </c>
      <c r="CO37" s="56">
        <f t="shared" si="85"/>
        <v>0</v>
      </c>
      <c r="CP37" s="56">
        <f t="shared" si="86"/>
        <v>0</v>
      </c>
      <c r="CQ37" s="56">
        <f t="shared" si="87"/>
        <v>0</v>
      </c>
      <c r="CR37" s="56">
        <f t="shared" si="88"/>
        <v>0</v>
      </c>
      <c r="CS37" s="56">
        <f t="shared" si="89"/>
        <v>0</v>
      </c>
      <c r="CT37" s="54"/>
      <c r="CV37" s="107" t="str">
        <f t="shared" si="90"/>
        <v/>
      </c>
      <c r="CX37" s="12">
        <f t="shared" si="91"/>
        <v>7.3759014731514565</v>
      </c>
      <c r="CY37" s="12">
        <f t="shared" si="92"/>
        <v>12.998743954689424</v>
      </c>
    </row>
    <row r="38" spans="1:103" ht="16" customHeight="1">
      <c r="A38" s="4">
        <v>28</v>
      </c>
      <c r="B38" s="17" t="s">
        <v>213</v>
      </c>
      <c r="C38" s="15" t="s">
        <v>108</v>
      </c>
      <c r="H38" s="20"/>
      <c r="I38" s="20"/>
      <c r="J38" s="20"/>
      <c r="K38" s="20"/>
      <c r="L38" s="20"/>
      <c r="M38" s="20"/>
      <c r="N38" s="20"/>
      <c r="O38" s="20"/>
      <c r="P38" s="20"/>
      <c r="Q38" s="20"/>
      <c r="R38" s="20"/>
      <c r="S38" s="20"/>
      <c r="T38" s="20"/>
      <c r="U38" s="9"/>
      <c r="V38" s="9"/>
      <c r="W38" s="9"/>
      <c r="X38" s="9">
        <v>21.23</v>
      </c>
      <c r="Z38" s="9"/>
      <c r="AA38" s="9"/>
      <c r="AB38" s="9"/>
      <c r="AC38" s="9"/>
      <c r="AD38" s="9"/>
      <c r="AE38" s="9"/>
      <c r="AF38" s="9"/>
      <c r="AG38" s="9">
        <v>78.77</v>
      </c>
      <c r="AH38" s="9"/>
      <c r="AI38" s="9"/>
      <c r="AJ38" s="9"/>
      <c r="AK38" s="9"/>
      <c r="AL38" s="9"/>
      <c r="AM38" s="9"/>
      <c r="AN38" s="9"/>
      <c r="AO38" s="9"/>
      <c r="AR38" s="25">
        <f t="shared" si="46"/>
        <v>100</v>
      </c>
      <c r="AS38" s="86"/>
      <c r="AT38" s="41">
        <f t="shared" si="47"/>
        <v>0</v>
      </c>
      <c r="AU38" s="21">
        <f t="shared" si="48"/>
        <v>0</v>
      </c>
      <c r="AV38" s="21">
        <f t="shared" si="49"/>
        <v>0</v>
      </c>
      <c r="AW38" s="20">
        <f t="shared" si="50"/>
        <v>0</v>
      </c>
      <c r="AX38" s="20">
        <f t="shared" si="51"/>
        <v>0</v>
      </c>
      <c r="AY38" s="85">
        <f t="shared" si="52"/>
        <v>100</v>
      </c>
      <c r="AZ38" s="85"/>
      <c r="BA38" s="45" t="s">
        <v>212</v>
      </c>
      <c r="BC38" s="84" t="s">
        <v>189</v>
      </c>
      <c r="BE38" s="50" t="s">
        <v>14</v>
      </c>
      <c r="BF38" s="83">
        <f t="shared" si="53"/>
        <v>1.3269579348709295</v>
      </c>
      <c r="BG38" s="50">
        <v>2</v>
      </c>
      <c r="BH38" s="50">
        <f t="shared" si="54"/>
        <v>0</v>
      </c>
      <c r="BI38" s="50">
        <f t="shared" si="55"/>
        <v>0</v>
      </c>
      <c r="BJ38" s="12"/>
      <c r="BK38" s="11">
        <f t="shared" si="56"/>
        <v>0</v>
      </c>
      <c r="BL38" s="11">
        <f t="shared" si="57"/>
        <v>0</v>
      </c>
      <c r="BM38" s="11">
        <f t="shared" si="58"/>
        <v>0</v>
      </c>
      <c r="BN38" s="11">
        <f t="shared" si="59"/>
        <v>0</v>
      </c>
      <c r="BO38" s="11">
        <f t="shared" si="60"/>
        <v>0</v>
      </c>
      <c r="BP38" s="11">
        <f t="shared" si="61"/>
        <v>0</v>
      </c>
      <c r="BQ38" s="11">
        <f t="shared" si="62"/>
        <v>0</v>
      </c>
      <c r="BR38" s="11">
        <f t="shared" si="63"/>
        <v>0</v>
      </c>
      <c r="BS38" s="11">
        <f t="shared" si="64"/>
        <v>0</v>
      </c>
      <c r="BT38" s="11">
        <f t="shared" si="65"/>
        <v>0</v>
      </c>
      <c r="BU38" s="11">
        <f t="shared" si="66"/>
        <v>0</v>
      </c>
      <c r="BV38" s="11">
        <f t="shared" si="67"/>
        <v>0</v>
      </c>
      <c r="BW38" s="11">
        <f t="shared" si="68"/>
        <v>0</v>
      </c>
      <c r="BX38" s="56">
        <f t="shared" si="69"/>
        <v>0</v>
      </c>
      <c r="BY38" s="11">
        <f t="shared" si="70"/>
        <v>0</v>
      </c>
      <c r="BZ38" s="34">
        <f t="shared" si="71"/>
        <v>0</v>
      </c>
      <c r="CA38" s="11">
        <f t="shared" si="72"/>
        <v>0</v>
      </c>
      <c r="CB38" s="11">
        <f t="shared" si="73"/>
        <v>2</v>
      </c>
      <c r="CC38" s="54"/>
      <c r="CD38" s="56">
        <f t="shared" si="74"/>
        <v>0</v>
      </c>
      <c r="CE38" s="56">
        <f t="shared" si="75"/>
        <v>0</v>
      </c>
      <c r="CF38" s="56">
        <f t="shared" si="76"/>
        <v>0</v>
      </c>
      <c r="CG38" s="56">
        <f t="shared" si="77"/>
        <v>0</v>
      </c>
      <c r="CH38" s="56">
        <f t="shared" si="78"/>
        <v>0</v>
      </c>
      <c r="CI38" s="56">
        <f t="shared" si="79"/>
        <v>0</v>
      </c>
      <c r="CJ38" s="56">
        <f t="shared" si="80"/>
        <v>0</v>
      </c>
      <c r="CK38" s="56">
        <f t="shared" si="81"/>
        <v>1.0001068004839115</v>
      </c>
      <c r="CL38" s="56">
        <f t="shared" si="82"/>
        <v>0</v>
      </c>
      <c r="CM38" s="56">
        <f t="shared" si="83"/>
        <v>0</v>
      </c>
      <c r="CN38" s="56">
        <f t="shared" si="84"/>
        <v>0</v>
      </c>
      <c r="CO38" s="56">
        <f t="shared" si="85"/>
        <v>0</v>
      </c>
      <c r="CP38" s="56">
        <f t="shared" si="86"/>
        <v>0</v>
      </c>
      <c r="CQ38" s="56">
        <f t="shared" si="87"/>
        <v>0</v>
      </c>
      <c r="CR38" s="56">
        <f t="shared" si="88"/>
        <v>0</v>
      </c>
      <c r="CS38" s="56">
        <f t="shared" si="89"/>
        <v>0</v>
      </c>
      <c r="CT38" s="54"/>
      <c r="CV38" s="107" t="str">
        <f t="shared" si="90"/>
        <v/>
      </c>
      <c r="CX38" s="12">
        <f t="shared" si="91"/>
        <v>1.0001068004839115</v>
      </c>
      <c r="CY38" s="12">
        <f t="shared" si="92"/>
        <v>2</v>
      </c>
    </row>
    <row r="39" spans="1:103" ht="16" customHeight="1">
      <c r="A39" s="4">
        <v>29</v>
      </c>
      <c r="B39" s="17" t="s">
        <v>211</v>
      </c>
      <c r="C39" s="15" t="s">
        <v>108</v>
      </c>
      <c r="H39" s="20"/>
      <c r="I39" s="20"/>
      <c r="J39" s="20"/>
      <c r="K39" s="20"/>
      <c r="L39" s="20"/>
      <c r="M39" s="20"/>
      <c r="N39" s="20"/>
      <c r="O39" s="20"/>
      <c r="P39" s="20"/>
      <c r="Q39" s="20"/>
      <c r="R39" s="20"/>
      <c r="S39" s="20"/>
      <c r="T39" s="20"/>
      <c r="U39" s="9">
        <v>17.46</v>
      </c>
      <c r="V39" s="9"/>
      <c r="W39" s="9"/>
      <c r="X39" s="9">
        <v>34.840000000000003</v>
      </c>
      <c r="Z39" s="9"/>
      <c r="AA39" s="9"/>
      <c r="AB39" s="9"/>
      <c r="AC39" s="9"/>
      <c r="AD39" s="9">
        <v>47.7</v>
      </c>
      <c r="AE39" s="9"/>
      <c r="AF39" s="9"/>
      <c r="AG39" s="9"/>
      <c r="AH39" s="9"/>
      <c r="AI39" s="9"/>
      <c r="AJ39" s="9"/>
      <c r="AK39" s="9"/>
      <c r="AL39" s="9"/>
      <c r="AM39" s="9"/>
      <c r="AN39" s="9"/>
      <c r="AO39" s="9"/>
      <c r="AR39" s="25">
        <f t="shared" si="46"/>
        <v>100</v>
      </c>
      <c r="AS39" s="86"/>
      <c r="AT39" s="41">
        <f t="shared" si="47"/>
        <v>0</v>
      </c>
      <c r="AU39" s="21">
        <f t="shared" si="48"/>
        <v>0</v>
      </c>
      <c r="AV39" s="21">
        <f t="shared" si="49"/>
        <v>0</v>
      </c>
      <c r="AW39" s="20">
        <f t="shared" si="50"/>
        <v>0</v>
      </c>
      <c r="AX39" s="20">
        <f t="shared" si="51"/>
        <v>0</v>
      </c>
      <c r="AY39" s="85">
        <f t="shared" si="52"/>
        <v>100</v>
      </c>
      <c r="AZ39" s="85"/>
      <c r="BA39" s="45" t="s">
        <v>210</v>
      </c>
      <c r="BC39" s="84" t="s">
        <v>189</v>
      </c>
      <c r="BE39" s="50" t="s">
        <v>14</v>
      </c>
      <c r="BF39" s="83">
        <f t="shared" si="53"/>
        <v>2.177636102256391</v>
      </c>
      <c r="BG39" s="50">
        <v>4</v>
      </c>
      <c r="BH39" s="50">
        <f t="shared" si="54"/>
        <v>0</v>
      </c>
      <c r="BI39" s="50">
        <f t="shared" si="55"/>
        <v>0</v>
      </c>
      <c r="BJ39" s="12"/>
      <c r="BK39" s="11">
        <f t="shared" si="56"/>
        <v>0</v>
      </c>
      <c r="BL39" s="11">
        <f t="shared" si="57"/>
        <v>0</v>
      </c>
      <c r="BM39" s="11">
        <f t="shared" si="58"/>
        <v>0</v>
      </c>
      <c r="BN39" s="11">
        <f t="shared" si="59"/>
        <v>0</v>
      </c>
      <c r="BO39" s="11">
        <f t="shared" si="60"/>
        <v>0</v>
      </c>
      <c r="BP39" s="11">
        <f t="shared" si="61"/>
        <v>0</v>
      </c>
      <c r="BQ39" s="11">
        <f t="shared" si="62"/>
        <v>0</v>
      </c>
      <c r="BR39" s="11">
        <f t="shared" si="63"/>
        <v>0</v>
      </c>
      <c r="BS39" s="11">
        <f t="shared" si="64"/>
        <v>0</v>
      </c>
      <c r="BT39" s="11">
        <f t="shared" si="65"/>
        <v>0</v>
      </c>
      <c r="BU39" s="11">
        <f t="shared" si="66"/>
        <v>0</v>
      </c>
      <c r="BV39" s="11">
        <f t="shared" si="67"/>
        <v>0</v>
      </c>
      <c r="BW39" s="11">
        <f t="shared" si="68"/>
        <v>0</v>
      </c>
      <c r="BX39" s="56">
        <f t="shared" si="69"/>
        <v>0</v>
      </c>
      <c r="BY39" s="11">
        <f t="shared" si="70"/>
        <v>1.0002019076133923</v>
      </c>
      <c r="BZ39" s="34">
        <f t="shared" si="71"/>
        <v>0</v>
      </c>
      <c r="CA39" s="11">
        <f t="shared" si="72"/>
        <v>0</v>
      </c>
      <c r="CB39" s="11">
        <f t="shared" si="73"/>
        <v>4</v>
      </c>
      <c r="CC39" s="54"/>
      <c r="CD39" s="56">
        <f t="shared" si="74"/>
        <v>0</v>
      </c>
      <c r="CE39" s="56">
        <f t="shared" si="75"/>
        <v>0</v>
      </c>
      <c r="CF39" s="56">
        <f t="shared" si="76"/>
        <v>0</v>
      </c>
      <c r="CG39" s="56">
        <f t="shared" si="77"/>
        <v>0</v>
      </c>
      <c r="CH39" s="56">
        <f t="shared" si="78"/>
        <v>0.9999765452057745</v>
      </c>
      <c r="CI39" s="56">
        <f t="shared" si="79"/>
        <v>0</v>
      </c>
      <c r="CJ39" s="56">
        <f t="shared" si="80"/>
        <v>0</v>
      </c>
      <c r="CK39" s="56">
        <f t="shared" si="81"/>
        <v>0</v>
      </c>
      <c r="CL39" s="56">
        <f t="shared" si="82"/>
        <v>0</v>
      </c>
      <c r="CM39" s="56">
        <f t="shared" si="83"/>
        <v>0</v>
      </c>
      <c r="CN39" s="56">
        <f t="shared" si="84"/>
        <v>0</v>
      </c>
      <c r="CO39" s="56">
        <f t="shared" si="85"/>
        <v>0</v>
      </c>
      <c r="CP39" s="56">
        <f t="shared" si="86"/>
        <v>0</v>
      </c>
      <c r="CQ39" s="56">
        <f t="shared" si="87"/>
        <v>0</v>
      </c>
      <c r="CR39" s="56">
        <f t="shared" si="88"/>
        <v>0</v>
      </c>
      <c r="CS39" s="56">
        <f t="shared" si="89"/>
        <v>0</v>
      </c>
      <c r="CT39" s="54"/>
      <c r="CV39" s="107" t="str">
        <f t="shared" si="90"/>
        <v/>
      </c>
      <c r="CX39" s="12">
        <f t="shared" si="91"/>
        <v>0.9999765452057745</v>
      </c>
      <c r="CY39" s="12">
        <f t="shared" si="92"/>
        <v>5.0002019076133921</v>
      </c>
    </row>
    <row r="40" spans="1:103" ht="16" customHeight="1">
      <c r="A40" s="4">
        <v>30</v>
      </c>
      <c r="B40" s="17" t="s">
        <v>209</v>
      </c>
      <c r="C40" s="15" t="s">
        <v>108</v>
      </c>
      <c r="H40" s="20"/>
      <c r="I40" s="20">
        <v>59.94</v>
      </c>
      <c r="J40" s="20"/>
      <c r="K40" s="20"/>
      <c r="L40" s="20"/>
      <c r="M40" s="20"/>
      <c r="N40" s="20"/>
      <c r="O40" s="20"/>
      <c r="P40" s="20"/>
      <c r="Q40" s="20"/>
      <c r="R40" s="20"/>
      <c r="S40" s="20"/>
      <c r="T40" s="20"/>
      <c r="U40" s="9"/>
      <c r="V40" s="9"/>
      <c r="W40" s="9"/>
      <c r="X40" s="9">
        <v>40.06</v>
      </c>
      <c r="Z40" s="9"/>
      <c r="AA40" s="9"/>
      <c r="AB40" s="9"/>
      <c r="AC40" s="9"/>
      <c r="AD40" s="9"/>
      <c r="AE40" s="9"/>
      <c r="AF40" s="9"/>
      <c r="AG40" s="9"/>
      <c r="AH40" s="9"/>
      <c r="AI40" s="9"/>
      <c r="AJ40" s="9"/>
      <c r="AK40" s="9"/>
      <c r="AL40" s="9"/>
      <c r="AM40" s="9"/>
      <c r="AN40" s="9"/>
      <c r="AO40" s="9"/>
      <c r="AR40" s="25">
        <f t="shared" si="46"/>
        <v>100</v>
      </c>
      <c r="AS40" s="86"/>
      <c r="AT40" s="41">
        <f t="shared" si="47"/>
        <v>0</v>
      </c>
      <c r="AU40" s="21">
        <f t="shared" si="48"/>
        <v>0</v>
      </c>
      <c r="AV40" s="21">
        <f t="shared" si="49"/>
        <v>0</v>
      </c>
      <c r="AW40" s="20">
        <f t="shared" si="50"/>
        <v>0</v>
      </c>
      <c r="AX40" s="20">
        <f t="shared" si="51"/>
        <v>0</v>
      </c>
      <c r="AY40" s="85">
        <f t="shared" si="52"/>
        <v>100</v>
      </c>
      <c r="AZ40" s="85"/>
      <c r="BA40" s="45" t="s">
        <v>208</v>
      </c>
      <c r="BC40" s="84" t="s">
        <v>189</v>
      </c>
      <c r="BE40" s="50" t="s">
        <v>14</v>
      </c>
      <c r="BF40" s="83">
        <f t="shared" si="53"/>
        <v>2.5039064941558848</v>
      </c>
      <c r="BG40" s="50">
        <v>2</v>
      </c>
      <c r="BH40" s="50">
        <f t="shared" si="54"/>
        <v>0</v>
      </c>
      <c r="BI40" s="50">
        <f t="shared" si="55"/>
        <v>0</v>
      </c>
      <c r="BJ40" s="12"/>
      <c r="BK40" s="11">
        <f t="shared" si="56"/>
        <v>0</v>
      </c>
      <c r="BL40" s="11">
        <f t="shared" si="57"/>
        <v>1.000212823430991</v>
      </c>
      <c r="BM40" s="11">
        <f t="shared" si="58"/>
        <v>0</v>
      </c>
      <c r="BN40" s="11">
        <f t="shared" si="59"/>
        <v>0</v>
      </c>
      <c r="BO40" s="11">
        <f t="shared" si="60"/>
        <v>0</v>
      </c>
      <c r="BP40" s="11">
        <f t="shared" si="61"/>
        <v>0</v>
      </c>
      <c r="BQ40" s="11">
        <f t="shared" si="62"/>
        <v>0</v>
      </c>
      <c r="BR40" s="11">
        <f t="shared" si="63"/>
        <v>0</v>
      </c>
      <c r="BS40" s="11">
        <f t="shared" si="64"/>
        <v>0</v>
      </c>
      <c r="BT40" s="11">
        <f t="shared" si="65"/>
        <v>0</v>
      </c>
      <c r="BU40" s="11">
        <f t="shared" si="66"/>
        <v>0</v>
      </c>
      <c r="BV40" s="11">
        <f t="shared" si="67"/>
        <v>0</v>
      </c>
      <c r="BW40" s="11">
        <f t="shared" si="68"/>
        <v>0</v>
      </c>
      <c r="BX40" s="56">
        <f t="shared" si="69"/>
        <v>0</v>
      </c>
      <c r="BY40" s="11">
        <f t="shared" si="70"/>
        <v>0</v>
      </c>
      <c r="BZ40" s="34">
        <f t="shared" si="71"/>
        <v>0</v>
      </c>
      <c r="CA40" s="11">
        <f t="shared" si="72"/>
        <v>0</v>
      </c>
      <c r="CB40" s="11">
        <f t="shared" si="73"/>
        <v>2</v>
      </c>
      <c r="CC40" s="54"/>
      <c r="CD40" s="56">
        <f t="shared" si="74"/>
        <v>0</v>
      </c>
      <c r="CE40" s="56">
        <f t="shared" si="75"/>
        <v>0</v>
      </c>
      <c r="CF40" s="56">
        <f t="shared" si="76"/>
        <v>0</v>
      </c>
      <c r="CG40" s="56">
        <f t="shared" si="77"/>
        <v>0</v>
      </c>
      <c r="CH40" s="56">
        <f t="shared" si="78"/>
        <v>0</v>
      </c>
      <c r="CI40" s="56">
        <f t="shared" si="79"/>
        <v>0</v>
      </c>
      <c r="CJ40" s="56">
        <f t="shared" si="80"/>
        <v>0</v>
      </c>
      <c r="CK40" s="56">
        <f t="shared" si="81"/>
        <v>0</v>
      </c>
      <c r="CL40" s="56">
        <f t="shared" si="82"/>
        <v>0</v>
      </c>
      <c r="CM40" s="56">
        <f t="shared" si="83"/>
        <v>0</v>
      </c>
      <c r="CN40" s="56">
        <f t="shared" si="84"/>
        <v>0</v>
      </c>
      <c r="CO40" s="56">
        <f t="shared" si="85"/>
        <v>0</v>
      </c>
      <c r="CP40" s="56">
        <f t="shared" si="86"/>
        <v>0</v>
      </c>
      <c r="CQ40" s="56">
        <f t="shared" si="87"/>
        <v>0</v>
      </c>
      <c r="CR40" s="56">
        <f t="shared" si="88"/>
        <v>0</v>
      </c>
      <c r="CS40" s="56">
        <f t="shared" si="89"/>
        <v>0</v>
      </c>
      <c r="CT40" s="54"/>
      <c r="CV40" s="107" t="str">
        <f t="shared" si="90"/>
        <v/>
      </c>
      <c r="CX40" s="12">
        <f t="shared" si="91"/>
        <v>1.000212823430991</v>
      </c>
      <c r="CY40" s="12">
        <f t="shared" si="92"/>
        <v>2</v>
      </c>
    </row>
    <row r="41" spans="1:103" ht="16" customHeight="1">
      <c r="A41" s="4">
        <v>31</v>
      </c>
      <c r="B41" s="17" t="s">
        <v>207</v>
      </c>
      <c r="C41" s="15" t="s">
        <v>108</v>
      </c>
      <c r="H41" s="20"/>
      <c r="I41" s="20">
        <v>59.94</v>
      </c>
      <c r="J41" s="20"/>
      <c r="K41" s="20"/>
      <c r="L41" s="20"/>
      <c r="M41" s="20"/>
      <c r="N41" s="20"/>
      <c r="O41" s="20"/>
      <c r="P41" s="20"/>
      <c r="Q41" s="20"/>
      <c r="R41" s="20"/>
      <c r="S41" s="20"/>
      <c r="T41" s="20"/>
      <c r="U41" s="9"/>
      <c r="V41" s="9"/>
      <c r="W41" s="9"/>
      <c r="X41" s="9">
        <v>40.06</v>
      </c>
      <c r="Z41" s="9"/>
      <c r="AA41" s="9"/>
      <c r="AB41" s="9"/>
      <c r="AC41" s="9"/>
      <c r="AD41" s="9"/>
      <c r="AE41" s="9"/>
      <c r="AF41" s="9"/>
      <c r="AG41" s="9"/>
      <c r="AH41" s="9"/>
      <c r="AI41" s="9"/>
      <c r="AJ41" s="9"/>
      <c r="AK41" s="9"/>
      <c r="AL41" s="9"/>
      <c r="AM41" s="9"/>
      <c r="AN41" s="9"/>
      <c r="AO41" s="9"/>
      <c r="AR41" s="25">
        <f t="shared" si="46"/>
        <v>100</v>
      </c>
      <c r="AS41" s="86"/>
      <c r="AT41" s="41">
        <f t="shared" si="47"/>
        <v>0</v>
      </c>
      <c r="AU41" s="21">
        <f t="shared" si="48"/>
        <v>0</v>
      </c>
      <c r="AV41" s="21">
        <f t="shared" si="49"/>
        <v>0</v>
      </c>
      <c r="AW41" s="20">
        <f t="shared" si="50"/>
        <v>0</v>
      </c>
      <c r="AX41" s="20">
        <f t="shared" si="51"/>
        <v>0</v>
      </c>
      <c r="AY41" s="85">
        <f t="shared" si="52"/>
        <v>100</v>
      </c>
      <c r="AZ41" s="85"/>
      <c r="BA41" s="45" t="s">
        <v>206</v>
      </c>
      <c r="BC41" s="84" t="s">
        <v>189</v>
      </c>
      <c r="BE41" s="50" t="s">
        <v>14</v>
      </c>
      <c r="BF41" s="83">
        <f t="shared" si="53"/>
        <v>2.5039064941558848</v>
      </c>
      <c r="BG41" s="50">
        <v>2</v>
      </c>
      <c r="BH41" s="50">
        <f t="shared" si="54"/>
        <v>0</v>
      </c>
      <c r="BI41" s="50">
        <f t="shared" si="55"/>
        <v>0</v>
      </c>
      <c r="BJ41" s="12"/>
      <c r="BK41" s="11">
        <f t="shared" si="56"/>
        <v>0</v>
      </c>
      <c r="BL41" s="11">
        <f t="shared" si="57"/>
        <v>1.000212823430991</v>
      </c>
      <c r="BM41" s="11">
        <f t="shared" si="58"/>
        <v>0</v>
      </c>
      <c r="BN41" s="11">
        <f t="shared" si="59"/>
        <v>0</v>
      </c>
      <c r="BO41" s="11">
        <f t="shared" si="60"/>
        <v>0</v>
      </c>
      <c r="BP41" s="11">
        <f t="shared" si="61"/>
        <v>0</v>
      </c>
      <c r="BQ41" s="11">
        <f t="shared" si="62"/>
        <v>0</v>
      </c>
      <c r="BR41" s="11">
        <f t="shared" si="63"/>
        <v>0</v>
      </c>
      <c r="BS41" s="11">
        <f t="shared" si="64"/>
        <v>0</v>
      </c>
      <c r="BT41" s="11">
        <f t="shared" si="65"/>
        <v>0</v>
      </c>
      <c r="BU41" s="11">
        <f t="shared" si="66"/>
        <v>0</v>
      </c>
      <c r="BV41" s="11">
        <f t="shared" si="67"/>
        <v>0</v>
      </c>
      <c r="BW41" s="11">
        <f t="shared" si="68"/>
        <v>0</v>
      </c>
      <c r="BX41" s="56">
        <f t="shared" si="69"/>
        <v>0</v>
      </c>
      <c r="BY41" s="11">
        <f t="shared" si="70"/>
        <v>0</v>
      </c>
      <c r="BZ41" s="34">
        <f t="shared" si="71"/>
        <v>0</v>
      </c>
      <c r="CA41" s="11">
        <f t="shared" si="72"/>
        <v>0</v>
      </c>
      <c r="CB41" s="11">
        <f t="shared" si="73"/>
        <v>2</v>
      </c>
      <c r="CC41" s="54"/>
      <c r="CD41" s="56">
        <f t="shared" si="74"/>
        <v>0</v>
      </c>
      <c r="CE41" s="56">
        <f t="shared" si="75"/>
        <v>0</v>
      </c>
      <c r="CF41" s="56">
        <f t="shared" si="76"/>
        <v>0</v>
      </c>
      <c r="CG41" s="56">
        <f t="shared" si="77"/>
        <v>0</v>
      </c>
      <c r="CH41" s="56">
        <f t="shared" si="78"/>
        <v>0</v>
      </c>
      <c r="CI41" s="56">
        <f t="shared" si="79"/>
        <v>0</v>
      </c>
      <c r="CJ41" s="56">
        <f t="shared" si="80"/>
        <v>0</v>
      </c>
      <c r="CK41" s="56">
        <f t="shared" si="81"/>
        <v>0</v>
      </c>
      <c r="CL41" s="56">
        <f t="shared" si="82"/>
        <v>0</v>
      </c>
      <c r="CM41" s="56">
        <f t="shared" si="83"/>
        <v>0</v>
      </c>
      <c r="CN41" s="56">
        <f t="shared" si="84"/>
        <v>0</v>
      </c>
      <c r="CO41" s="56">
        <f t="shared" si="85"/>
        <v>0</v>
      </c>
      <c r="CP41" s="56">
        <f t="shared" si="86"/>
        <v>0</v>
      </c>
      <c r="CQ41" s="56">
        <f t="shared" si="87"/>
        <v>0</v>
      </c>
      <c r="CR41" s="56">
        <f t="shared" si="88"/>
        <v>0</v>
      </c>
      <c r="CS41" s="56">
        <f t="shared" si="89"/>
        <v>0</v>
      </c>
      <c r="CT41" s="54"/>
      <c r="CV41" s="107" t="str">
        <f t="shared" si="90"/>
        <v/>
      </c>
      <c r="CX41" s="12">
        <f t="shared" si="91"/>
        <v>1.000212823430991</v>
      </c>
      <c r="CY41" s="12">
        <f t="shared" si="92"/>
        <v>2</v>
      </c>
    </row>
    <row r="42" spans="1:103" ht="16" customHeight="1">
      <c r="A42" s="4">
        <v>32</v>
      </c>
      <c r="B42" s="17" t="s">
        <v>205</v>
      </c>
      <c r="C42" s="15" t="s">
        <v>108</v>
      </c>
      <c r="H42" s="20"/>
      <c r="I42" s="20">
        <v>59.94</v>
      </c>
      <c r="J42" s="20"/>
      <c r="K42" s="20"/>
      <c r="L42" s="20"/>
      <c r="M42" s="20"/>
      <c r="N42" s="20"/>
      <c r="O42" s="20"/>
      <c r="P42" s="20"/>
      <c r="Q42" s="20"/>
      <c r="R42" s="20"/>
      <c r="S42" s="20"/>
      <c r="T42" s="20"/>
      <c r="U42" s="9"/>
      <c r="V42" s="9"/>
      <c r="W42" s="9"/>
      <c r="X42" s="9">
        <v>40.06</v>
      </c>
      <c r="Z42" s="9"/>
      <c r="AA42" s="9"/>
      <c r="AB42" s="9"/>
      <c r="AC42" s="9"/>
      <c r="AD42" s="9"/>
      <c r="AE42" s="9"/>
      <c r="AF42" s="9"/>
      <c r="AG42" s="9"/>
      <c r="AH42" s="9"/>
      <c r="AI42" s="9"/>
      <c r="AJ42" s="9"/>
      <c r="AK42" s="9"/>
      <c r="AL42" s="9"/>
      <c r="AM42" s="9"/>
      <c r="AN42" s="9"/>
      <c r="AO42" s="9"/>
      <c r="AR42" s="25">
        <f t="shared" si="46"/>
        <v>100</v>
      </c>
      <c r="AS42" s="86"/>
      <c r="AT42" s="41">
        <f t="shared" si="47"/>
        <v>0</v>
      </c>
      <c r="AU42" s="21">
        <f t="shared" si="48"/>
        <v>0</v>
      </c>
      <c r="AV42" s="21">
        <f t="shared" si="49"/>
        <v>0</v>
      </c>
      <c r="AW42" s="20">
        <f t="shared" si="50"/>
        <v>0</v>
      </c>
      <c r="AX42" s="20">
        <f t="shared" si="51"/>
        <v>0</v>
      </c>
      <c r="AY42" s="85">
        <f t="shared" si="52"/>
        <v>100</v>
      </c>
      <c r="AZ42" s="85"/>
      <c r="BA42" s="45" t="s">
        <v>204</v>
      </c>
      <c r="BC42" s="84" t="s">
        <v>189</v>
      </c>
      <c r="BE42" s="50" t="s">
        <v>14</v>
      </c>
      <c r="BF42" s="83">
        <f t="shared" si="53"/>
        <v>2.5039064941558848</v>
      </c>
      <c r="BG42" s="50">
        <v>2</v>
      </c>
      <c r="BH42" s="50">
        <f t="shared" si="54"/>
        <v>0</v>
      </c>
      <c r="BI42" s="50">
        <f t="shared" si="55"/>
        <v>0</v>
      </c>
      <c r="BJ42" s="12"/>
      <c r="BK42" s="11">
        <f t="shared" si="56"/>
        <v>0</v>
      </c>
      <c r="BL42" s="11">
        <f t="shared" si="57"/>
        <v>1.000212823430991</v>
      </c>
      <c r="BM42" s="11">
        <f t="shared" si="58"/>
        <v>0</v>
      </c>
      <c r="BN42" s="11">
        <f t="shared" si="59"/>
        <v>0</v>
      </c>
      <c r="BO42" s="11">
        <f t="shared" si="60"/>
        <v>0</v>
      </c>
      <c r="BP42" s="11">
        <f t="shared" si="61"/>
        <v>0</v>
      </c>
      <c r="BQ42" s="11">
        <f t="shared" si="62"/>
        <v>0</v>
      </c>
      <c r="BR42" s="11">
        <f t="shared" si="63"/>
        <v>0</v>
      </c>
      <c r="BS42" s="11">
        <f t="shared" si="64"/>
        <v>0</v>
      </c>
      <c r="BT42" s="11">
        <f t="shared" si="65"/>
        <v>0</v>
      </c>
      <c r="BU42" s="11">
        <f t="shared" si="66"/>
        <v>0</v>
      </c>
      <c r="BV42" s="11">
        <f t="shared" si="67"/>
        <v>0</v>
      </c>
      <c r="BW42" s="11">
        <f t="shared" si="68"/>
        <v>0</v>
      </c>
      <c r="BX42" s="56">
        <f t="shared" si="69"/>
        <v>0</v>
      </c>
      <c r="BY42" s="11">
        <f t="shared" si="70"/>
        <v>0</v>
      </c>
      <c r="BZ42" s="34">
        <f t="shared" si="71"/>
        <v>0</v>
      </c>
      <c r="CA42" s="11">
        <f t="shared" si="72"/>
        <v>0</v>
      </c>
      <c r="CB42" s="11">
        <f t="shared" si="73"/>
        <v>2</v>
      </c>
      <c r="CC42" s="54"/>
      <c r="CD42" s="56">
        <f t="shared" si="74"/>
        <v>0</v>
      </c>
      <c r="CE42" s="56">
        <f t="shared" si="75"/>
        <v>0</v>
      </c>
      <c r="CF42" s="56">
        <f t="shared" si="76"/>
        <v>0</v>
      </c>
      <c r="CG42" s="56">
        <f t="shared" si="77"/>
        <v>0</v>
      </c>
      <c r="CH42" s="56">
        <f t="shared" si="78"/>
        <v>0</v>
      </c>
      <c r="CI42" s="56">
        <f t="shared" si="79"/>
        <v>0</v>
      </c>
      <c r="CJ42" s="56">
        <f t="shared" si="80"/>
        <v>0</v>
      </c>
      <c r="CK42" s="56">
        <f t="shared" si="81"/>
        <v>0</v>
      </c>
      <c r="CL42" s="56">
        <f t="shared" si="82"/>
        <v>0</v>
      </c>
      <c r="CM42" s="56">
        <f t="shared" si="83"/>
        <v>0</v>
      </c>
      <c r="CN42" s="56">
        <f t="shared" si="84"/>
        <v>0</v>
      </c>
      <c r="CO42" s="56">
        <f t="shared" si="85"/>
        <v>0</v>
      </c>
      <c r="CP42" s="56">
        <f t="shared" si="86"/>
        <v>0</v>
      </c>
      <c r="CQ42" s="56">
        <f t="shared" si="87"/>
        <v>0</v>
      </c>
      <c r="CR42" s="56">
        <f t="shared" si="88"/>
        <v>0</v>
      </c>
      <c r="CS42" s="56">
        <f t="shared" si="89"/>
        <v>0</v>
      </c>
      <c r="CT42" s="54"/>
      <c r="CV42" s="107" t="str">
        <f t="shared" si="90"/>
        <v/>
      </c>
      <c r="CX42" s="12">
        <f t="shared" si="91"/>
        <v>1.000212823430991</v>
      </c>
      <c r="CY42" s="12">
        <f t="shared" si="92"/>
        <v>2</v>
      </c>
    </row>
    <row r="43" spans="1:103" ht="16" customHeight="1">
      <c r="A43" s="4">
        <v>33</v>
      </c>
      <c r="B43" s="17" t="s">
        <v>203</v>
      </c>
      <c r="C43" s="15" t="s">
        <v>108</v>
      </c>
      <c r="H43" s="20"/>
      <c r="I43" s="20"/>
      <c r="J43" s="20"/>
      <c r="K43" s="20"/>
      <c r="L43" s="20"/>
      <c r="M43" s="20"/>
      <c r="N43" s="20"/>
      <c r="O43" s="20"/>
      <c r="P43" s="20"/>
      <c r="Q43" s="20">
        <v>23.28</v>
      </c>
      <c r="R43" s="20"/>
      <c r="S43" s="20"/>
      <c r="T43" s="20"/>
      <c r="U43" s="9">
        <v>18.62</v>
      </c>
      <c r="V43" s="9"/>
      <c r="W43" s="9"/>
      <c r="X43" s="9">
        <v>55.76</v>
      </c>
      <c r="Z43" s="9"/>
      <c r="AA43" s="9"/>
      <c r="AB43" s="9"/>
      <c r="AC43" s="9"/>
      <c r="AD43" s="9"/>
      <c r="AE43" s="9"/>
      <c r="AF43" s="9"/>
      <c r="AG43" s="9"/>
      <c r="AH43" s="9"/>
      <c r="AI43" s="9"/>
      <c r="AJ43" s="9"/>
      <c r="AK43" s="9"/>
      <c r="AL43" s="9"/>
      <c r="AM43" s="9"/>
      <c r="AN43" s="9"/>
      <c r="AO43" s="9"/>
      <c r="AR43" s="25">
        <f t="shared" si="46"/>
        <v>97.66</v>
      </c>
      <c r="AS43" s="86"/>
      <c r="AT43" s="41">
        <f t="shared" si="47"/>
        <v>0</v>
      </c>
      <c r="AU43" s="21">
        <f t="shared" si="48"/>
        <v>0</v>
      </c>
      <c r="AV43" s="21">
        <f t="shared" si="49"/>
        <v>0</v>
      </c>
      <c r="AW43" s="20">
        <f t="shared" si="50"/>
        <v>2.3234785507427547</v>
      </c>
      <c r="AX43" s="20">
        <f t="shared" si="51"/>
        <v>0</v>
      </c>
      <c r="AY43" s="85">
        <f t="shared" si="52"/>
        <v>99.983478550742745</v>
      </c>
      <c r="AZ43" s="85"/>
      <c r="BA43" s="45" t="s">
        <v>202</v>
      </c>
      <c r="BC43" s="84" t="s">
        <v>189</v>
      </c>
      <c r="BE43" s="50" t="s">
        <v>14</v>
      </c>
      <c r="BF43" s="83">
        <f t="shared" si="53"/>
        <v>3.4852178261141318</v>
      </c>
      <c r="BG43" s="50">
        <v>6</v>
      </c>
      <c r="BH43" s="50">
        <f t="shared" si="54"/>
        <v>4</v>
      </c>
      <c r="BI43" s="50">
        <f t="shared" si="55"/>
        <v>0</v>
      </c>
      <c r="BJ43" s="12"/>
      <c r="BK43" s="11">
        <f t="shared" si="56"/>
        <v>0</v>
      </c>
      <c r="BL43" s="11">
        <f t="shared" si="57"/>
        <v>0</v>
      </c>
      <c r="BM43" s="11">
        <f t="shared" si="58"/>
        <v>0</v>
      </c>
      <c r="BN43" s="11">
        <f t="shared" si="59"/>
        <v>0</v>
      </c>
      <c r="BO43" s="11">
        <f t="shared" si="60"/>
        <v>0</v>
      </c>
      <c r="BP43" s="11">
        <f t="shared" si="61"/>
        <v>0</v>
      </c>
      <c r="BQ43" s="11">
        <f t="shared" si="62"/>
        <v>0</v>
      </c>
      <c r="BR43" s="11">
        <f t="shared" si="63"/>
        <v>0</v>
      </c>
      <c r="BS43" s="11">
        <f t="shared" si="64"/>
        <v>0</v>
      </c>
      <c r="BT43" s="11">
        <f t="shared" si="65"/>
        <v>0</v>
      </c>
      <c r="BU43" s="11">
        <f t="shared" si="66"/>
        <v>0.99999599060168398</v>
      </c>
      <c r="BV43" s="11">
        <f t="shared" si="67"/>
        <v>0</v>
      </c>
      <c r="BW43" s="11">
        <f t="shared" si="68"/>
        <v>0</v>
      </c>
      <c r="BX43" s="56">
        <f t="shared" si="69"/>
        <v>0</v>
      </c>
      <c r="BY43" s="11">
        <f t="shared" si="70"/>
        <v>0.99970014727527345</v>
      </c>
      <c r="BZ43" s="34">
        <f t="shared" si="71"/>
        <v>0</v>
      </c>
      <c r="CA43" s="11">
        <f t="shared" si="72"/>
        <v>0</v>
      </c>
      <c r="CB43" s="11">
        <f t="shared" si="73"/>
        <v>6</v>
      </c>
      <c r="CC43" s="54"/>
      <c r="CD43" s="56">
        <f t="shared" si="74"/>
        <v>0</v>
      </c>
      <c r="CE43" s="56">
        <f t="shared" si="75"/>
        <v>0</v>
      </c>
      <c r="CF43" s="56">
        <f t="shared" si="76"/>
        <v>0</v>
      </c>
      <c r="CG43" s="56">
        <f t="shared" si="77"/>
        <v>0</v>
      </c>
      <c r="CH43" s="56">
        <f t="shared" si="78"/>
        <v>0</v>
      </c>
      <c r="CI43" s="56">
        <f t="shared" si="79"/>
        <v>0</v>
      </c>
      <c r="CJ43" s="56">
        <f t="shared" si="80"/>
        <v>0</v>
      </c>
      <c r="CK43" s="56">
        <f t="shared" si="81"/>
        <v>0</v>
      </c>
      <c r="CL43" s="56">
        <f t="shared" si="82"/>
        <v>0</v>
      </c>
      <c r="CM43" s="56">
        <f t="shared" si="83"/>
        <v>0</v>
      </c>
      <c r="CN43" s="56">
        <f t="shared" si="84"/>
        <v>0</v>
      </c>
      <c r="CO43" s="56">
        <f t="shared" si="85"/>
        <v>0</v>
      </c>
      <c r="CP43" s="56">
        <f t="shared" si="86"/>
        <v>0</v>
      </c>
      <c r="CQ43" s="56">
        <f t="shared" si="87"/>
        <v>0</v>
      </c>
      <c r="CR43" s="56">
        <f t="shared" si="88"/>
        <v>0</v>
      </c>
      <c r="CS43" s="56">
        <f t="shared" si="89"/>
        <v>0</v>
      </c>
      <c r="CT43" s="54"/>
      <c r="CV43" s="107" t="str">
        <f t="shared" si="90"/>
        <v/>
      </c>
      <c r="CX43" s="12">
        <f t="shared" si="91"/>
        <v>0.99999599060168398</v>
      </c>
      <c r="CY43" s="12">
        <f t="shared" si="92"/>
        <v>6.9997001472752736</v>
      </c>
    </row>
    <row r="44" spans="1:103" ht="16" customHeight="1">
      <c r="A44" s="4">
        <v>34</v>
      </c>
      <c r="B44" s="17" t="s">
        <v>201</v>
      </c>
      <c r="C44" s="15" t="s">
        <v>108</v>
      </c>
      <c r="H44" s="20"/>
      <c r="I44" s="20"/>
      <c r="J44" s="20"/>
      <c r="K44" s="20"/>
      <c r="L44" s="20"/>
      <c r="M44" s="20"/>
      <c r="N44" s="20"/>
      <c r="O44" s="20"/>
      <c r="P44" s="20"/>
      <c r="Q44" s="20"/>
      <c r="R44" s="20"/>
      <c r="S44" s="20"/>
      <c r="T44" s="20"/>
      <c r="U44" s="9"/>
      <c r="V44" s="9"/>
      <c r="W44" s="9"/>
      <c r="X44" s="9">
        <v>25.97</v>
      </c>
      <c r="Z44" s="9"/>
      <c r="AA44" s="9"/>
      <c r="AB44" s="9"/>
      <c r="AC44" s="9"/>
      <c r="AD44" s="9"/>
      <c r="AE44" s="9"/>
      <c r="AF44" s="9"/>
      <c r="AG44" s="9"/>
      <c r="AH44" s="9">
        <v>74.03</v>
      </c>
      <c r="AI44" s="9"/>
      <c r="AJ44" s="9"/>
      <c r="AK44" s="9"/>
      <c r="AL44" s="9"/>
      <c r="AM44" s="9"/>
      <c r="AN44" s="9"/>
      <c r="AO44" s="9"/>
      <c r="AR44" s="25">
        <f t="shared" si="46"/>
        <v>100</v>
      </c>
      <c r="AS44" s="86"/>
      <c r="AT44" s="41">
        <f t="shared" si="47"/>
        <v>0</v>
      </c>
      <c r="AU44" s="21">
        <f t="shared" si="48"/>
        <v>0</v>
      </c>
      <c r="AV44" s="21">
        <f t="shared" si="49"/>
        <v>0</v>
      </c>
      <c r="AW44" s="20">
        <f t="shared" si="50"/>
        <v>0</v>
      </c>
      <c r="AX44" s="20">
        <f t="shared" si="51"/>
        <v>0</v>
      </c>
      <c r="AY44" s="85">
        <f t="shared" si="52"/>
        <v>100</v>
      </c>
      <c r="AZ44" s="85"/>
      <c r="BA44" s="45" t="s">
        <v>199</v>
      </c>
      <c r="BC44" s="84" t="s">
        <v>189</v>
      </c>
      <c r="BE44" s="50" t="s">
        <v>14</v>
      </c>
      <c r="BF44" s="83">
        <f t="shared" si="53"/>
        <v>1.6232264516532282</v>
      </c>
      <c r="BG44" s="50">
        <v>2</v>
      </c>
      <c r="BH44" s="50">
        <f t="shared" si="54"/>
        <v>0</v>
      </c>
      <c r="BI44" s="50">
        <f t="shared" si="55"/>
        <v>0</v>
      </c>
      <c r="BJ44" s="12"/>
      <c r="BK44" s="11">
        <f t="shared" si="56"/>
        <v>0</v>
      </c>
      <c r="BL44" s="11">
        <f t="shared" si="57"/>
        <v>0</v>
      </c>
      <c r="BM44" s="11">
        <f t="shared" si="58"/>
        <v>0</v>
      </c>
      <c r="BN44" s="11">
        <f t="shared" si="59"/>
        <v>0</v>
      </c>
      <c r="BO44" s="11">
        <f t="shared" si="60"/>
        <v>0</v>
      </c>
      <c r="BP44" s="11">
        <f t="shared" si="61"/>
        <v>0</v>
      </c>
      <c r="BQ44" s="11">
        <f t="shared" si="62"/>
        <v>0</v>
      </c>
      <c r="BR44" s="11">
        <f t="shared" si="63"/>
        <v>0</v>
      </c>
      <c r="BS44" s="11">
        <f t="shared" si="64"/>
        <v>0</v>
      </c>
      <c r="BT44" s="11">
        <f t="shared" si="65"/>
        <v>0</v>
      </c>
      <c r="BU44" s="11">
        <f t="shared" si="66"/>
        <v>0</v>
      </c>
      <c r="BV44" s="11">
        <f t="shared" si="67"/>
        <v>0</v>
      </c>
      <c r="BW44" s="11">
        <f t="shared" si="68"/>
        <v>0</v>
      </c>
      <c r="BX44" s="56">
        <f t="shared" si="69"/>
        <v>0</v>
      </c>
      <c r="BY44" s="11">
        <f t="shared" si="70"/>
        <v>0</v>
      </c>
      <c r="BZ44" s="34">
        <f t="shared" si="71"/>
        <v>0</v>
      </c>
      <c r="CA44" s="11">
        <f t="shared" si="72"/>
        <v>0</v>
      </c>
      <c r="CB44" s="11">
        <f t="shared" si="73"/>
        <v>2</v>
      </c>
      <c r="CC44" s="54"/>
      <c r="CD44" s="56">
        <f t="shared" si="74"/>
        <v>0</v>
      </c>
      <c r="CE44" s="56">
        <f t="shared" si="75"/>
        <v>0</v>
      </c>
      <c r="CF44" s="56">
        <f t="shared" si="76"/>
        <v>0</v>
      </c>
      <c r="CG44" s="56">
        <f t="shared" si="77"/>
        <v>0</v>
      </c>
      <c r="CH44" s="56">
        <f t="shared" si="78"/>
        <v>0</v>
      </c>
      <c r="CI44" s="56">
        <f t="shared" si="79"/>
        <v>0</v>
      </c>
      <c r="CJ44" s="56">
        <f t="shared" si="80"/>
        <v>0</v>
      </c>
      <c r="CK44" s="56">
        <f t="shared" si="81"/>
        <v>0</v>
      </c>
      <c r="CL44" s="56">
        <f t="shared" si="82"/>
        <v>0.99988377802610973</v>
      </c>
      <c r="CM44" s="56">
        <f t="shared" si="83"/>
        <v>0</v>
      </c>
      <c r="CN44" s="56">
        <f t="shared" si="84"/>
        <v>0</v>
      </c>
      <c r="CO44" s="56">
        <f t="shared" si="85"/>
        <v>0</v>
      </c>
      <c r="CP44" s="56">
        <f t="shared" si="86"/>
        <v>0</v>
      </c>
      <c r="CQ44" s="56">
        <f t="shared" si="87"/>
        <v>0</v>
      </c>
      <c r="CR44" s="56">
        <f t="shared" si="88"/>
        <v>0</v>
      </c>
      <c r="CS44" s="56">
        <f t="shared" si="89"/>
        <v>0</v>
      </c>
      <c r="CT44" s="54"/>
      <c r="CV44" s="107" t="str">
        <f t="shared" si="90"/>
        <v/>
      </c>
      <c r="CX44" s="12">
        <f t="shared" si="91"/>
        <v>0.99988377802610973</v>
      </c>
      <c r="CY44" s="12">
        <f t="shared" si="92"/>
        <v>2</v>
      </c>
    </row>
    <row r="45" spans="1:103" ht="16" customHeight="1">
      <c r="A45" s="4">
        <v>35</v>
      </c>
      <c r="B45" s="17" t="s">
        <v>200</v>
      </c>
      <c r="C45" s="15" t="s">
        <v>108</v>
      </c>
      <c r="H45" s="20"/>
      <c r="I45" s="20"/>
      <c r="J45" s="20"/>
      <c r="K45" s="20"/>
      <c r="L45" s="20"/>
      <c r="M45" s="20"/>
      <c r="N45" s="20"/>
      <c r="O45" s="20"/>
      <c r="P45" s="20"/>
      <c r="Q45" s="20"/>
      <c r="R45" s="20"/>
      <c r="S45" s="20"/>
      <c r="T45" s="20"/>
      <c r="U45" s="9"/>
      <c r="V45" s="9"/>
      <c r="W45" s="9"/>
      <c r="X45" s="9">
        <v>25.355</v>
      </c>
      <c r="Z45" s="9"/>
      <c r="AA45" s="9"/>
      <c r="AB45" s="9"/>
      <c r="AC45" s="9"/>
      <c r="AD45" s="9"/>
      <c r="AE45" s="9"/>
      <c r="AF45" s="9"/>
      <c r="AG45" s="9"/>
      <c r="AH45" s="9">
        <v>64.399000000000001</v>
      </c>
      <c r="AI45" s="9">
        <v>10.247</v>
      </c>
      <c r="AJ45" s="9"/>
      <c r="AK45" s="9"/>
      <c r="AL45" s="9"/>
      <c r="AM45" s="9"/>
      <c r="AN45" s="9"/>
      <c r="AO45" s="9"/>
      <c r="AR45" s="25">
        <f t="shared" si="46"/>
        <v>100.001</v>
      </c>
      <c r="AS45" s="86"/>
      <c r="AT45" s="41">
        <f t="shared" si="47"/>
        <v>0</v>
      </c>
      <c r="AU45" s="21">
        <f t="shared" si="48"/>
        <v>0</v>
      </c>
      <c r="AV45" s="21">
        <f t="shared" si="49"/>
        <v>0</v>
      </c>
      <c r="AW45" s="20">
        <f t="shared" si="50"/>
        <v>0</v>
      </c>
      <c r="AX45" s="20">
        <f t="shared" si="51"/>
        <v>0</v>
      </c>
      <c r="AY45" s="85">
        <f t="shared" si="52"/>
        <v>100.001</v>
      </c>
      <c r="AZ45" s="85"/>
      <c r="BA45" s="45" t="s">
        <v>199</v>
      </c>
      <c r="BC45" s="84" t="s">
        <v>189</v>
      </c>
      <c r="BE45" s="50" t="s">
        <v>14</v>
      </c>
      <c r="BF45" s="83">
        <f t="shared" si="53"/>
        <v>1.5847865491593225</v>
      </c>
      <c r="BG45" s="50">
        <v>2.2000000000000002</v>
      </c>
      <c r="BH45" s="50">
        <f t="shared" si="54"/>
        <v>0</v>
      </c>
      <c r="BI45" s="50">
        <f t="shared" si="55"/>
        <v>0</v>
      </c>
      <c r="BJ45" s="12"/>
      <c r="BK45" s="11">
        <f t="shared" si="56"/>
        <v>0</v>
      </c>
      <c r="BL45" s="11">
        <f t="shared" si="57"/>
        <v>0</v>
      </c>
      <c r="BM45" s="11">
        <f t="shared" si="58"/>
        <v>0</v>
      </c>
      <c r="BN45" s="11">
        <f t="shared" si="59"/>
        <v>0</v>
      </c>
      <c r="BO45" s="11">
        <f t="shared" si="60"/>
        <v>0</v>
      </c>
      <c r="BP45" s="11">
        <f t="shared" si="61"/>
        <v>0</v>
      </c>
      <c r="BQ45" s="11">
        <f t="shared" si="62"/>
        <v>0</v>
      </c>
      <c r="BR45" s="11">
        <f t="shared" si="63"/>
        <v>0</v>
      </c>
      <c r="BS45" s="11">
        <f t="shared" si="64"/>
        <v>0</v>
      </c>
      <c r="BT45" s="11">
        <f t="shared" si="65"/>
        <v>0</v>
      </c>
      <c r="BU45" s="11">
        <f t="shared" si="66"/>
        <v>0</v>
      </c>
      <c r="BV45" s="11">
        <f t="shared" si="67"/>
        <v>0</v>
      </c>
      <c r="BW45" s="11">
        <f t="shared" si="68"/>
        <v>0</v>
      </c>
      <c r="BX45" s="56">
        <f t="shared" si="69"/>
        <v>0</v>
      </c>
      <c r="BY45" s="11">
        <f t="shared" si="70"/>
        <v>0</v>
      </c>
      <c r="BZ45" s="34">
        <f t="shared" si="71"/>
        <v>0</v>
      </c>
      <c r="CA45" s="11">
        <f t="shared" si="72"/>
        <v>0</v>
      </c>
      <c r="CB45" s="11">
        <f t="shared" si="73"/>
        <v>2.2000000000000002</v>
      </c>
      <c r="CC45" s="54"/>
      <c r="CD45" s="56">
        <f t="shared" si="74"/>
        <v>0</v>
      </c>
      <c r="CE45" s="56">
        <f t="shared" si="75"/>
        <v>0</v>
      </c>
      <c r="CF45" s="56">
        <f t="shared" si="76"/>
        <v>0</v>
      </c>
      <c r="CG45" s="56">
        <f t="shared" si="77"/>
        <v>0</v>
      </c>
      <c r="CH45" s="56">
        <f t="shared" si="78"/>
        <v>0</v>
      </c>
      <c r="CI45" s="56">
        <f t="shared" si="79"/>
        <v>0</v>
      </c>
      <c r="CJ45" s="56">
        <f t="shared" si="80"/>
        <v>0</v>
      </c>
      <c r="CK45" s="56">
        <f t="shared" si="81"/>
        <v>0</v>
      </c>
      <c r="CL45" s="56">
        <f t="shared" si="82"/>
        <v>0.97999061498258533</v>
      </c>
      <c r="CM45" s="56">
        <f t="shared" si="83"/>
        <v>0.15999938085566759</v>
      </c>
      <c r="CN45" s="56">
        <f t="shared" si="84"/>
        <v>0</v>
      </c>
      <c r="CO45" s="56">
        <f t="shared" si="85"/>
        <v>0</v>
      </c>
      <c r="CP45" s="56">
        <f t="shared" si="86"/>
        <v>0</v>
      </c>
      <c r="CQ45" s="56">
        <f t="shared" si="87"/>
        <v>0</v>
      </c>
      <c r="CR45" s="56">
        <f t="shared" si="88"/>
        <v>0</v>
      </c>
      <c r="CS45" s="56">
        <f t="shared" si="89"/>
        <v>0</v>
      </c>
      <c r="CT45" s="54"/>
      <c r="CV45" s="107" t="str">
        <f t="shared" si="90"/>
        <v/>
      </c>
      <c r="CX45" s="12">
        <f t="shared" si="91"/>
        <v>1.1399899958382529</v>
      </c>
      <c r="CY45" s="12">
        <f t="shared" si="92"/>
        <v>2.2000000000000002</v>
      </c>
    </row>
    <row r="46" spans="1:103" ht="16" customHeight="1">
      <c r="A46" s="4">
        <v>36</v>
      </c>
      <c r="B46" s="17" t="s">
        <v>198</v>
      </c>
      <c r="C46" s="15" t="s">
        <v>108</v>
      </c>
      <c r="H46" s="20">
        <v>31.35</v>
      </c>
      <c r="I46" s="20"/>
      <c r="J46" s="20">
        <v>10.039999999999999</v>
      </c>
      <c r="K46" s="20"/>
      <c r="L46" s="20"/>
      <c r="M46" s="20"/>
      <c r="N46" s="20"/>
      <c r="O46" s="20"/>
      <c r="P46" s="20"/>
      <c r="Q46" s="20"/>
      <c r="R46" s="20"/>
      <c r="S46" s="20"/>
      <c r="T46" s="20"/>
      <c r="U46" s="9"/>
      <c r="V46" s="9"/>
      <c r="W46" s="9"/>
      <c r="X46" s="9">
        <v>53.58</v>
      </c>
      <c r="Z46" s="9"/>
      <c r="AA46" s="9"/>
      <c r="AB46" s="9">
        <v>5.03</v>
      </c>
      <c r="AC46" s="9"/>
      <c r="AD46" s="9"/>
      <c r="AE46" s="9"/>
      <c r="AF46" s="9"/>
      <c r="AG46" s="9"/>
      <c r="AH46" s="9"/>
      <c r="AI46" s="9"/>
      <c r="AJ46" s="9"/>
      <c r="AK46" s="9"/>
      <c r="AL46" s="9"/>
      <c r="AM46" s="9"/>
      <c r="AN46" s="9"/>
      <c r="AO46" s="9"/>
      <c r="AR46" s="25">
        <f t="shared" si="46"/>
        <v>100</v>
      </c>
      <c r="AS46" s="86"/>
      <c r="AT46" s="41">
        <f t="shared" si="47"/>
        <v>0</v>
      </c>
      <c r="AU46" s="21">
        <f t="shared" si="48"/>
        <v>0</v>
      </c>
      <c r="AV46" s="21">
        <f t="shared" si="49"/>
        <v>0</v>
      </c>
      <c r="AW46" s="20">
        <f t="shared" si="50"/>
        <v>0</v>
      </c>
      <c r="AX46" s="20">
        <f t="shared" si="51"/>
        <v>0</v>
      </c>
      <c r="AY46" s="85">
        <f t="shared" si="52"/>
        <v>100</v>
      </c>
      <c r="AZ46" s="85"/>
      <c r="BA46" s="45" t="s">
        <v>197</v>
      </c>
      <c r="BC46" s="84" t="s">
        <v>189</v>
      </c>
      <c r="BE46" s="50" t="s">
        <v>14</v>
      </c>
      <c r="BF46" s="83">
        <f t="shared" si="53"/>
        <v>3.348959309956872</v>
      </c>
      <c r="BG46" s="50">
        <v>18</v>
      </c>
      <c r="BH46" s="50">
        <f t="shared" si="54"/>
        <v>0</v>
      </c>
      <c r="BI46" s="50">
        <f t="shared" si="55"/>
        <v>0</v>
      </c>
      <c r="BJ46" s="12"/>
      <c r="BK46" s="11">
        <f t="shared" si="56"/>
        <v>5.9995409155250483</v>
      </c>
      <c r="BL46" s="11">
        <f t="shared" si="57"/>
        <v>0</v>
      </c>
      <c r="BM46" s="11">
        <f t="shared" si="58"/>
        <v>1.9999983127279741</v>
      </c>
      <c r="BN46" s="11">
        <f t="shared" si="59"/>
        <v>0</v>
      </c>
      <c r="BO46" s="11">
        <f t="shared" si="60"/>
        <v>0</v>
      </c>
      <c r="BP46" s="11">
        <f t="shared" si="61"/>
        <v>0</v>
      </c>
      <c r="BQ46" s="11">
        <f t="shared" si="62"/>
        <v>0</v>
      </c>
      <c r="BR46" s="11">
        <f t="shared" si="63"/>
        <v>0</v>
      </c>
      <c r="BS46" s="11">
        <f t="shared" si="64"/>
        <v>0</v>
      </c>
      <c r="BT46" s="11">
        <f t="shared" si="65"/>
        <v>0</v>
      </c>
      <c r="BU46" s="11">
        <f t="shared" si="66"/>
        <v>0</v>
      </c>
      <c r="BV46" s="11">
        <f t="shared" si="67"/>
        <v>0</v>
      </c>
      <c r="BW46" s="11">
        <f t="shared" si="68"/>
        <v>0</v>
      </c>
      <c r="BX46" s="56">
        <f t="shared" si="69"/>
        <v>0</v>
      </c>
      <c r="BY46" s="11">
        <f t="shared" si="70"/>
        <v>0</v>
      </c>
      <c r="BZ46" s="34">
        <f t="shared" si="71"/>
        <v>0</v>
      </c>
      <c r="CA46" s="11">
        <f t="shared" si="72"/>
        <v>0</v>
      </c>
      <c r="CB46" s="11">
        <f t="shared" si="73"/>
        <v>18</v>
      </c>
      <c r="CC46" s="54"/>
      <c r="CD46" s="56">
        <f t="shared" si="74"/>
        <v>0</v>
      </c>
      <c r="CE46" s="56">
        <f t="shared" si="75"/>
        <v>0</v>
      </c>
      <c r="CF46" s="56">
        <f t="shared" si="76"/>
        <v>2.999857778916978</v>
      </c>
      <c r="CG46" s="56">
        <f t="shared" si="77"/>
        <v>0</v>
      </c>
      <c r="CH46" s="56">
        <f t="shared" si="78"/>
        <v>0</v>
      </c>
      <c r="CI46" s="56">
        <f t="shared" si="79"/>
        <v>0</v>
      </c>
      <c r="CJ46" s="56">
        <f t="shared" si="80"/>
        <v>0</v>
      </c>
      <c r="CK46" s="56">
        <f t="shared" si="81"/>
        <v>0</v>
      </c>
      <c r="CL46" s="56">
        <f t="shared" si="82"/>
        <v>0</v>
      </c>
      <c r="CM46" s="56">
        <f t="shared" si="83"/>
        <v>0</v>
      </c>
      <c r="CN46" s="56">
        <f t="shared" si="84"/>
        <v>0</v>
      </c>
      <c r="CO46" s="56">
        <f t="shared" si="85"/>
        <v>0</v>
      </c>
      <c r="CP46" s="56">
        <f t="shared" si="86"/>
        <v>0</v>
      </c>
      <c r="CQ46" s="56">
        <f t="shared" si="87"/>
        <v>0</v>
      </c>
      <c r="CR46" s="56">
        <f t="shared" si="88"/>
        <v>0</v>
      </c>
      <c r="CS46" s="56">
        <f t="shared" si="89"/>
        <v>0</v>
      </c>
      <c r="CT46" s="54"/>
      <c r="CV46" s="107" t="str">
        <f t="shared" si="90"/>
        <v/>
      </c>
      <c r="CX46" s="12">
        <f t="shared" si="91"/>
        <v>10.99939700717</v>
      </c>
      <c r="CY46" s="12">
        <f t="shared" si="92"/>
        <v>18</v>
      </c>
    </row>
    <row r="47" spans="1:103" ht="16" customHeight="1">
      <c r="A47" s="4">
        <v>37</v>
      </c>
      <c r="B47" s="17" t="s">
        <v>196</v>
      </c>
      <c r="C47" s="15" t="s">
        <v>108</v>
      </c>
      <c r="H47" s="20">
        <v>30.27</v>
      </c>
      <c r="I47" s="20"/>
      <c r="J47" s="20">
        <v>9.69</v>
      </c>
      <c r="K47" s="20"/>
      <c r="L47" s="20"/>
      <c r="M47" s="20"/>
      <c r="N47" s="20"/>
      <c r="O47" s="20"/>
      <c r="P47" s="20"/>
      <c r="Q47" s="20"/>
      <c r="R47" s="20"/>
      <c r="S47" s="20">
        <v>14.05</v>
      </c>
      <c r="T47" s="20"/>
      <c r="U47" s="9"/>
      <c r="V47" s="9"/>
      <c r="W47" s="9"/>
      <c r="X47" s="9">
        <v>45.99</v>
      </c>
      <c r="Z47" s="9"/>
      <c r="AA47" s="9"/>
      <c r="AB47" s="9"/>
      <c r="AC47" s="9"/>
      <c r="AD47" s="9"/>
      <c r="AE47" s="9"/>
      <c r="AF47" s="9"/>
      <c r="AG47" s="9"/>
      <c r="AH47" s="9"/>
      <c r="AI47" s="9"/>
      <c r="AJ47" s="9"/>
      <c r="AK47" s="9"/>
      <c r="AL47" s="9"/>
      <c r="AM47" s="9"/>
      <c r="AN47" s="9"/>
      <c r="AO47" s="9"/>
      <c r="AR47" s="25">
        <f t="shared" si="46"/>
        <v>100</v>
      </c>
      <c r="AS47" s="86"/>
      <c r="AT47" s="41">
        <f t="shared" si="47"/>
        <v>0</v>
      </c>
      <c r="AU47" s="21">
        <f t="shared" si="48"/>
        <v>0</v>
      </c>
      <c r="AV47" s="21">
        <f t="shared" si="49"/>
        <v>0</v>
      </c>
      <c r="AW47" s="20">
        <f t="shared" si="50"/>
        <v>0</v>
      </c>
      <c r="AX47" s="20">
        <f t="shared" si="51"/>
        <v>0</v>
      </c>
      <c r="AY47" s="85">
        <f t="shared" si="52"/>
        <v>100</v>
      </c>
      <c r="AZ47" s="85"/>
      <c r="BA47" s="45" t="s">
        <v>195</v>
      </c>
      <c r="BC47" s="84" t="s">
        <v>189</v>
      </c>
      <c r="BE47" s="50" t="s">
        <v>14</v>
      </c>
      <c r="BF47" s="83">
        <f t="shared" si="53"/>
        <v>2.874554659666229</v>
      </c>
      <c r="BG47" s="50">
        <v>8</v>
      </c>
      <c r="BH47" s="50">
        <f t="shared" si="54"/>
        <v>0</v>
      </c>
      <c r="BI47" s="50">
        <f t="shared" si="55"/>
        <v>0</v>
      </c>
      <c r="BJ47" s="12"/>
      <c r="BK47" s="11">
        <f t="shared" si="56"/>
        <v>2.9995055983126169</v>
      </c>
      <c r="BL47" s="11">
        <f t="shared" si="57"/>
        <v>0</v>
      </c>
      <c r="BM47" s="11">
        <f t="shared" si="58"/>
        <v>0.99948544733861955</v>
      </c>
      <c r="BN47" s="11">
        <f t="shared" si="59"/>
        <v>0</v>
      </c>
      <c r="BO47" s="11">
        <f t="shared" si="60"/>
        <v>0</v>
      </c>
      <c r="BP47" s="11">
        <f t="shared" si="61"/>
        <v>0</v>
      </c>
      <c r="BQ47" s="11">
        <f t="shared" si="62"/>
        <v>0</v>
      </c>
      <c r="BR47" s="11">
        <f t="shared" si="63"/>
        <v>0</v>
      </c>
      <c r="BS47" s="11">
        <f t="shared" si="64"/>
        <v>0</v>
      </c>
      <c r="BT47" s="11">
        <f t="shared" si="65"/>
        <v>0</v>
      </c>
      <c r="BU47" s="11">
        <f t="shared" si="66"/>
        <v>0</v>
      </c>
      <c r="BV47" s="11">
        <f t="shared" si="67"/>
        <v>0</v>
      </c>
      <c r="BW47" s="11">
        <f t="shared" si="68"/>
        <v>1.0000871922101096</v>
      </c>
      <c r="BX47" s="56">
        <f t="shared" si="69"/>
        <v>0</v>
      </c>
      <c r="BY47" s="11">
        <f t="shared" si="70"/>
        <v>0</v>
      </c>
      <c r="BZ47" s="34">
        <f t="shared" si="71"/>
        <v>0</v>
      </c>
      <c r="CA47" s="11">
        <f t="shared" si="72"/>
        <v>0</v>
      </c>
      <c r="CB47" s="11">
        <f t="shared" si="73"/>
        <v>8</v>
      </c>
      <c r="CC47" s="54"/>
      <c r="CD47" s="56">
        <f t="shared" si="74"/>
        <v>0</v>
      </c>
      <c r="CE47" s="56">
        <f t="shared" si="75"/>
        <v>0</v>
      </c>
      <c r="CF47" s="56">
        <f t="shared" si="76"/>
        <v>0</v>
      </c>
      <c r="CG47" s="56">
        <f t="shared" si="77"/>
        <v>0</v>
      </c>
      <c r="CH47" s="56">
        <f t="shared" si="78"/>
        <v>0</v>
      </c>
      <c r="CI47" s="56">
        <f t="shared" si="79"/>
        <v>0</v>
      </c>
      <c r="CJ47" s="56">
        <f t="shared" si="80"/>
        <v>0</v>
      </c>
      <c r="CK47" s="56">
        <f t="shared" si="81"/>
        <v>0</v>
      </c>
      <c r="CL47" s="56">
        <f t="shared" si="82"/>
        <v>0</v>
      </c>
      <c r="CM47" s="56">
        <f t="shared" si="83"/>
        <v>0</v>
      </c>
      <c r="CN47" s="56">
        <f t="shared" si="84"/>
        <v>0</v>
      </c>
      <c r="CO47" s="56">
        <f t="shared" si="85"/>
        <v>0</v>
      </c>
      <c r="CP47" s="56">
        <f t="shared" si="86"/>
        <v>0</v>
      </c>
      <c r="CQ47" s="56">
        <f t="shared" si="87"/>
        <v>0</v>
      </c>
      <c r="CR47" s="56">
        <f t="shared" si="88"/>
        <v>0</v>
      </c>
      <c r="CS47" s="56">
        <f t="shared" si="89"/>
        <v>0</v>
      </c>
      <c r="CT47" s="54"/>
      <c r="CV47" s="107" t="str">
        <f t="shared" si="90"/>
        <v/>
      </c>
      <c r="CX47" s="12">
        <f t="shared" si="91"/>
        <v>4.9990782378613456</v>
      </c>
      <c r="CY47" s="12">
        <f t="shared" si="92"/>
        <v>8</v>
      </c>
    </row>
    <row r="48" spans="1:103" ht="16" customHeight="1">
      <c r="A48" s="4">
        <v>38</v>
      </c>
      <c r="B48" s="17" t="s">
        <v>194</v>
      </c>
      <c r="C48" s="15" t="s">
        <v>108</v>
      </c>
      <c r="H48" s="18">
        <v>46.74</v>
      </c>
      <c r="I48" s="20"/>
      <c r="J48" s="20"/>
      <c r="K48" s="20"/>
      <c r="L48" s="20"/>
      <c r="M48" s="20"/>
      <c r="N48" s="20"/>
      <c r="O48" s="20"/>
      <c r="P48" s="20"/>
      <c r="Q48" s="20"/>
      <c r="R48" s="20"/>
      <c r="S48" s="20"/>
      <c r="T48" s="20"/>
      <c r="U48" s="9"/>
      <c r="V48" s="9"/>
      <c r="W48" s="9"/>
      <c r="X48" s="9">
        <v>53.26</v>
      </c>
      <c r="Z48" s="9"/>
      <c r="AA48" s="9"/>
      <c r="AB48" s="9"/>
      <c r="AC48" s="9"/>
      <c r="AD48" s="9"/>
      <c r="AE48" s="9"/>
      <c r="AF48" s="9"/>
      <c r="AG48" s="9"/>
      <c r="AH48" s="9"/>
      <c r="AI48" s="9"/>
      <c r="AJ48" s="9"/>
      <c r="AK48" s="9"/>
      <c r="AL48" s="9"/>
      <c r="AM48" s="9"/>
      <c r="AN48" s="9"/>
      <c r="AO48" s="9"/>
      <c r="AR48" s="25">
        <f t="shared" si="46"/>
        <v>100</v>
      </c>
      <c r="AS48" s="86"/>
      <c r="AT48" s="41">
        <f t="shared" si="47"/>
        <v>0</v>
      </c>
      <c r="AU48" s="21">
        <f t="shared" si="48"/>
        <v>0</v>
      </c>
      <c r="AV48" s="21">
        <f t="shared" si="49"/>
        <v>0</v>
      </c>
      <c r="AW48" s="20">
        <f t="shared" si="50"/>
        <v>0</v>
      </c>
      <c r="AX48" s="20">
        <f t="shared" si="51"/>
        <v>0</v>
      </c>
      <c r="AY48" s="85">
        <f t="shared" si="52"/>
        <v>100</v>
      </c>
      <c r="AZ48" s="85"/>
      <c r="BA48" s="45" t="s">
        <v>193</v>
      </c>
      <c r="BC48" s="84" t="s">
        <v>189</v>
      </c>
      <c r="BE48" s="50" t="s">
        <v>14</v>
      </c>
      <c r="BF48" s="83">
        <f t="shared" si="53"/>
        <v>3.328958059878742</v>
      </c>
      <c r="BG48" s="50">
        <v>2</v>
      </c>
      <c r="BH48" s="50">
        <f t="shared" si="54"/>
        <v>0</v>
      </c>
      <c r="BI48" s="50">
        <f t="shared" si="55"/>
        <v>0</v>
      </c>
      <c r="BJ48" s="12"/>
      <c r="BK48" s="11">
        <f t="shared" si="56"/>
        <v>0.99983473430566394</v>
      </c>
      <c r="BL48" s="11">
        <f t="shared" si="57"/>
        <v>0</v>
      </c>
      <c r="BM48" s="11">
        <f t="shared" si="58"/>
        <v>0</v>
      </c>
      <c r="BN48" s="11">
        <f t="shared" si="59"/>
        <v>0</v>
      </c>
      <c r="BO48" s="11">
        <f t="shared" si="60"/>
        <v>0</v>
      </c>
      <c r="BP48" s="11">
        <f t="shared" si="61"/>
        <v>0</v>
      </c>
      <c r="BQ48" s="11">
        <f t="shared" si="62"/>
        <v>0</v>
      </c>
      <c r="BR48" s="11">
        <f t="shared" si="63"/>
        <v>0</v>
      </c>
      <c r="BS48" s="11">
        <f t="shared" si="64"/>
        <v>0</v>
      </c>
      <c r="BT48" s="11">
        <f t="shared" si="65"/>
        <v>0</v>
      </c>
      <c r="BU48" s="11">
        <f t="shared" si="66"/>
        <v>0</v>
      </c>
      <c r="BV48" s="11">
        <f t="shared" si="67"/>
        <v>0</v>
      </c>
      <c r="BW48" s="11">
        <f t="shared" si="68"/>
        <v>0</v>
      </c>
      <c r="BX48" s="56">
        <f t="shared" si="69"/>
        <v>0</v>
      </c>
      <c r="BY48" s="11">
        <f t="shared" si="70"/>
        <v>0</v>
      </c>
      <c r="BZ48" s="34">
        <f t="shared" si="71"/>
        <v>0</v>
      </c>
      <c r="CA48" s="11">
        <f t="shared" si="72"/>
        <v>0</v>
      </c>
      <c r="CB48" s="11">
        <f t="shared" si="73"/>
        <v>2</v>
      </c>
      <c r="CC48" s="54"/>
      <c r="CD48" s="56">
        <f t="shared" si="74"/>
        <v>0</v>
      </c>
      <c r="CE48" s="56">
        <f t="shared" si="75"/>
        <v>0</v>
      </c>
      <c r="CF48" s="56">
        <f t="shared" si="76"/>
        <v>0</v>
      </c>
      <c r="CG48" s="56">
        <f t="shared" si="77"/>
        <v>0</v>
      </c>
      <c r="CH48" s="56">
        <f t="shared" si="78"/>
        <v>0</v>
      </c>
      <c r="CI48" s="56">
        <f t="shared" si="79"/>
        <v>0</v>
      </c>
      <c r="CJ48" s="56">
        <f t="shared" si="80"/>
        <v>0</v>
      </c>
      <c r="CK48" s="56">
        <f t="shared" si="81"/>
        <v>0</v>
      </c>
      <c r="CL48" s="56">
        <f t="shared" si="82"/>
        <v>0</v>
      </c>
      <c r="CM48" s="56">
        <f t="shared" si="83"/>
        <v>0</v>
      </c>
      <c r="CN48" s="56">
        <f t="shared" si="84"/>
        <v>0</v>
      </c>
      <c r="CO48" s="56">
        <f t="shared" si="85"/>
        <v>0</v>
      </c>
      <c r="CP48" s="56">
        <f t="shared" si="86"/>
        <v>0</v>
      </c>
      <c r="CQ48" s="56">
        <f t="shared" si="87"/>
        <v>0</v>
      </c>
      <c r="CR48" s="56">
        <f t="shared" si="88"/>
        <v>0</v>
      </c>
      <c r="CS48" s="56">
        <f t="shared" si="89"/>
        <v>0</v>
      </c>
      <c r="CT48" s="54"/>
      <c r="CV48" s="107" t="str">
        <f t="shared" si="90"/>
        <v/>
      </c>
      <c r="CX48" s="12">
        <f t="shared" si="91"/>
        <v>0.99983473430566394</v>
      </c>
      <c r="CY48" s="12">
        <f t="shared" si="92"/>
        <v>2</v>
      </c>
    </row>
    <row r="49" spans="1:103" ht="16" customHeight="1">
      <c r="A49" s="4">
        <v>39</v>
      </c>
      <c r="B49" s="17" t="s">
        <v>192</v>
      </c>
      <c r="C49" s="15" t="s">
        <v>108</v>
      </c>
      <c r="H49" s="20"/>
      <c r="I49" s="20"/>
      <c r="J49" s="20">
        <v>37.93</v>
      </c>
      <c r="K49" s="20"/>
      <c r="L49" s="20"/>
      <c r="M49" s="20"/>
      <c r="N49" s="20">
        <v>17.079999999999998</v>
      </c>
      <c r="O49" s="20"/>
      <c r="P49" s="20"/>
      <c r="Q49" s="20"/>
      <c r="R49" s="20"/>
      <c r="S49" s="20"/>
      <c r="T49" s="20"/>
      <c r="U49" s="9"/>
      <c r="V49" s="9"/>
      <c r="W49" s="9"/>
      <c r="X49" s="9">
        <v>44.98</v>
      </c>
      <c r="Z49" s="9"/>
      <c r="AA49" s="9"/>
      <c r="AB49" s="9"/>
      <c r="AC49" s="9"/>
      <c r="AD49" s="9"/>
      <c r="AE49" s="9"/>
      <c r="AF49" s="9"/>
      <c r="AG49" s="9"/>
      <c r="AH49" s="9"/>
      <c r="AI49" s="9"/>
      <c r="AJ49" s="9"/>
      <c r="AK49" s="9"/>
      <c r="AL49" s="9"/>
      <c r="AM49" s="9"/>
      <c r="AN49" s="9"/>
      <c r="AO49" s="9"/>
      <c r="AR49" s="25">
        <f t="shared" si="46"/>
        <v>99.99</v>
      </c>
      <c r="AS49" s="86"/>
      <c r="AT49" s="41">
        <f t="shared" si="47"/>
        <v>0</v>
      </c>
      <c r="AU49" s="21">
        <f t="shared" si="48"/>
        <v>0</v>
      </c>
      <c r="AV49" s="21">
        <f t="shared" si="49"/>
        <v>0</v>
      </c>
      <c r="AW49" s="20">
        <f t="shared" si="50"/>
        <v>0</v>
      </c>
      <c r="AX49" s="20">
        <f t="shared" si="51"/>
        <v>0</v>
      </c>
      <c r="AY49" s="85">
        <f t="shared" si="52"/>
        <v>99.99</v>
      </c>
      <c r="AZ49" s="85"/>
      <c r="BA49" s="45" t="s">
        <v>191</v>
      </c>
      <c r="BC49" s="84" t="s">
        <v>189</v>
      </c>
      <c r="BE49" s="50" t="s">
        <v>14</v>
      </c>
      <c r="BF49" s="83">
        <f t="shared" si="53"/>
        <v>2.8114257141071315</v>
      </c>
      <c r="BG49" s="50">
        <v>4</v>
      </c>
      <c r="BH49" s="50">
        <f t="shared" si="54"/>
        <v>0</v>
      </c>
      <c r="BI49" s="50">
        <f t="shared" si="55"/>
        <v>0</v>
      </c>
      <c r="BJ49" s="12"/>
      <c r="BK49" s="11">
        <f t="shared" si="56"/>
        <v>0</v>
      </c>
      <c r="BL49" s="11">
        <f t="shared" si="57"/>
        <v>0</v>
      </c>
      <c r="BM49" s="11">
        <f t="shared" si="58"/>
        <v>2.0000898392374609</v>
      </c>
      <c r="BN49" s="11">
        <f t="shared" si="59"/>
        <v>0</v>
      </c>
      <c r="BO49" s="11">
        <f t="shared" si="60"/>
        <v>0</v>
      </c>
      <c r="BP49" s="11">
        <f t="shared" si="61"/>
        <v>0</v>
      </c>
      <c r="BQ49" s="11">
        <f t="shared" si="62"/>
        <v>0</v>
      </c>
      <c r="BR49" s="11">
        <f t="shared" si="63"/>
        <v>0.99982874740370098</v>
      </c>
      <c r="BS49" s="11">
        <f t="shared" si="64"/>
        <v>0</v>
      </c>
      <c r="BT49" s="11">
        <f t="shared" si="65"/>
        <v>0</v>
      </c>
      <c r="BU49" s="11">
        <f t="shared" si="66"/>
        <v>0</v>
      </c>
      <c r="BV49" s="11">
        <f t="shared" si="67"/>
        <v>0</v>
      </c>
      <c r="BW49" s="11">
        <f t="shared" si="68"/>
        <v>0</v>
      </c>
      <c r="BX49" s="56">
        <f t="shared" si="69"/>
        <v>0</v>
      </c>
      <c r="BY49" s="11">
        <f t="shared" si="70"/>
        <v>0</v>
      </c>
      <c r="BZ49" s="34">
        <f t="shared" si="71"/>
        <v>0</v>
      </c>
      <c r="CA49" s="11">
        <f t="shared" si="72"/>
        <v>0</v>
      </c>
      <c r="CB49" s="11">
        <f t="shared" si="73"/>
        <v>4</v>
      </c>
      <c r="CC49" s="54"/>
      <c r="CD49" s="56">
        <f t="shared" si="74"/>
        <v>0</v>
      </c>
      <c r="CE49" s="56">
        <f t="shared" si="75"/>
        <v>0</v>
      </c>
      <c r="CF49" s="56">
        <f t="shared" si="76"/>
        <v>0</v>
      </c>
      <c r="CG49" s="56">
        <f t="shared" si="77"/>
        <v>0</v>
      </c>
      <c r="CH49" s="56">
        <f t="shared" si="78"/>
        <v>0</v>
      </c>
      <c r="CI49" s="56">
        <f t="shared" si="79"/>
        <v>0</v>
      </c>
      <c r="CJ49" s="56">
        <f t="shared" si="80"/>
        <v>0</v>
      </c>
      <c r="CK49" s="56">
        <f t="shared" si="81"/>
        <v>0</v>
      </c>
      <c r="CL49" s="56">
        <f t="shared" si="82"/>
        <v>0</v>
      </c>
      <c r="CM49" s="56">
        <f t="shared" si="83"/>
        <v>0</v>
      </c>
      <c r="CN49" s="56">
        <f t="shared" si="84"/>
        <v>0</v>
      </c>
      <c r="CO49" s="56">
        <f t="shared" si="85"/>
        <v>0</v>
      </c>
      <c r="CP49" s="56">
        <f t="shared" si="86"/>
        <v>0</v>
      </c>
      <c r="CQ49" s="56">
        <f t="shared" si="87"/>
        <v>0</v>
      </c>
      <c r="CR49" s="56">
        <f t="shared" si="88"/>
        <v>0</v>
      </c>
      <c r="CS49" s="56">
        <f t="shared" si="89"/>
        <v>0</v>
      </c>
      <c r="CT49" s="54"/>
      <c r="CV49" s="107" t="str">
        <f t="shared" si="90"/>
        <v/>
      </c>
      <c r="CX49" s="12">
        <f t="shared" si="91"/>
        <v>2.999918586641162</v>
      </c>
      <c r="CY49" s="12">
        <f t="shared" si="92"/>
        <v>4</v>
      </c>
    </row>
    <row r="50" spans="1:103" ht="16" customHeight="1">
      <c r="A50" s="4">
        <v>40</v>
      </c>
      <c r="B50" s="17" t="s">
        <v>190</v>
      </c>
      <c r="C50" s="15" t="s">
        <v>108</v>
      </c>
      <c r="H50" s="20"/>
      <c r="I50" s="20"/>
      <c r="J50" s="20">
        <v>52.93</v>
      </c>
      <c r="K50" s="20"/>
      <c r="L50" s="20"/>
      <c r="M50" s="20"/>
      <c r="N50" s="20"/>
      <c r="O50" s="20"/>
      <c r="P50" s="20"/>
      <c r="Q50" s="20"/>
      <c r="R50" s="20"/>
      <c r="S50" s="20"/>
      <c r="T50" s="20"/>
      <c r="U50" s="9"/>
      <c r="V50" s="9"/>
      <c r="W50" s="9"/>
      <c r="X50" s="9">
        <v>47.07</v>
      </c>
      <c r="Z50" s="9"/>
      <c r="AA50" s="9"/>
      <c r="AB50" s="9"/>
      <c r="AC50" s="9"/>
      <c r="AD50" s="9"/>
      <c r="AE50" s="9"/>
      <c r="AF50" s="9"/>
      <c r="AG50" s="9"/>
      <c r="AH50" s="9"/>
      <c r="AI50" s="9"/>
      <c r="AJ50" s="9"/>
      <c r="AK50" s="9"/>
      <c r="AL50" s="9"/>
      <c r="AM50" s="9"/>
      <c r="AN50" s="9"/>
      <c r="AO50" s="9"/>
      <c r="AR50" s="25">
        <f t="shared" si="46"/>
        <v>100</v>
      </c>
      <c r="AS50" s="86"/>
      <c r="AT50" s="41">
        <f t="shared" si="47"/>
        <v>0</v>
      </c>
      <c r="AU50" s="21">
        <f t="shared" si="48"/>
        <v>0</v>
      </c>
      <c r="AV50" s="21">
        <f t="shared" si="49"/>
        <v>0</v>
      </c>
      <c r="AW50" s="20">
        <f t="shared" si="50"/>
        <v>0</v>
      </c>
      <c r="AX50" s="20">
        <f t="shared" si="51"/>
        <v>0</v>
      </c>
      <c r="AY50" s="85">
        <f t="shared" si="52"/>
        <v>100</v>
      </c>
      <c r="AZ50" s="85"/>
      <c r="BA50" s="45" t="s">
        <v>497</v>
      </c>
      <c r="BC50" s="84" t="s">
        <v>189</v>
      </c>
      <c r="BE50" s="50" t="s">
        <v>14</v>
      </c>
      <c r="BF50" s="83">
        <f t="shared" si="53"/>
        <v>2.9420588786799176</v>
      </c>
      <c r="BG50" s="50">
        <v>3</v>
      </c>
      <c r="BH50" s="50">
        <f t="shared" si="54"/>
        <v>0</v>
      </c>
      <c r="BI50" s="50">
        <f t="shared" si="55"/>
        <v>0</v>
      </c>
      <c r="BJ50" s="12"/>
      <c r="BK50" s="11">
        <f t="shared" si="56"/>
        <v>0</v>
      </c>
      <c r="BL50" s="11">
        <f t="shared" si="57"/>
        <v>0</v>
      </c>
      <c r="BM50" s="11">
        <f t="shared" si="58"/>
        <v>2.0003457647754779</v>
      </c>
      <c r="BN50" s="11">
        <f t="shared" si="59"/>
        <v>0</v>
      </c>
      <c r="BO50" s="11">
        <f t="shared" si="60"/>
        <v>0</v>
      </c>
      <c r="BP50" s="11">
        <f t="shared" si="61"/>
        <v>0</v>
      </c>
      <c r="BQ50" s="11">
        <f t="shared" si="62"/>
        <v>0</v>
      </c>
      <c r="BR50" s="11">
        <f t="shared" si="63"/>
        <v>0</v>
      </c>
      <c r="BS50" s="11">
        <f t="shared" si="64"/>
        <v>0</v>
      </c>
      <c r="BT50" s="11">
        <f t="shared" si="65"/>
        <v>0</v>
      </c>
      <c r="BU50" s="11">
        <f t="shared" si="66"/>
        <v>0</v>
      </c>
      <c r="BV50" s="11">
        <f t="shared" si="67"/>
        <v>0</v>
      </c>
      <c r="BW50" s="11">
        <f t="shared" si="68"/>
        <v>0</v>
      </c>
      <c r="BX50" s="56">
        <f t="shared" si="69"/>
        <v>0</v>
      </c>
      <c r="BY50" s="11">
        <f t="shared" si="70"/>
        <v>0</v>
      </c>
      <c r="BZ50" s="34">
        <f t="shared" si="71"/>
        <v>0</v>
      </c>
      <c r="CA50" s="11">
        <f t="shared" si="72"/>
        <v>0</v>
      </c>
      <c r="CB50" s="11">
        <f t="shared" si="73"/>
        <v>3</v>
      </c>
      <c r="CC50" s="54"/>
      <c r="CD50" s="56">
        <f t="shared" si="74"/>
        <v>0</v>
      </c>
      <c r="CE50" s="56">
        <f t="shared" si="75"/>
        <v>0</v>
      </c>
      <c r="CF50" s="56">
        <f t="shared" si="76"/>
        <v>0</v>
      </c>
      <c r="CG50" s="56">
        <f t="shared" si="77"/>
        <v>0</v>
      </c>
      <c r="CH50" s="56">
        <f t="shared" si="78"/>
        <v>0</v>
      </c>
      <c r="CI50" s="56">
        <f t="shared" si="79"/>
        <v>0</v>
      </c>
      <c r="CJ50" s="56">
        <f t="shared" si="80"/>
        <v>0</v>
      </c>
      <c r="CK50" s="56">
        <f t="shared" si="81"/>
        <v>0</v>
      </c>
      <c r="CL50" s="56">
        <f t="shared" si="82"/>
        <v>0</v>
      </c>
      <c r="CM50" s="56">
        <f t="shared" si="83"/>
        <v>0</v>
      </c>
      <c r="CN50" s="56">
        <f t="shared" si="84"/>
        <v>0</v>
      </c>
      <c r="CO50" s="56">
        <f t="shared" si="85"/>
        <v>0</v>
      </c>
      <c r="CP50" s="56">
        <f t="shared" si="86"/>
        <v>0</v>
      </c>
      <c r="CQ50" s="56">
        <f t="shared" si="87"/>
        <v>0</v>
      </c>
      <c r="CR50" s="56">
        <f t="shared" si="88"/>
        <v>0</v>
      </c>
      <c r="CS50" s="56">
        <f t="shared" si="89"/>
        <v>0</v>
      </c>
      <c r="CT50" s="54"/>
      <c r="CV50" s="107" t="str">
        <f t="shared" si="90"/>
        <v/>
      </c>
      <c r="CX50" s="12">
        <f t="shared" si="91"/>
        <v>2.0003457647754779</v>
      </c>
      <c r="CY50" s="12">
        <f t="shared" si="92"/>
        <v>3</v>
      </c>
    </row>
    <row r="51" spans="1:103" ht="16" customHeight="1">
      <c r="H51" s="20"/>
      <c r="I51" s="20"/>
      <c r="J51" s="20"/>
      <c r="K51" s="20"/>
      <c r="L51" s="20"/>
      <c r="M51" s="20"/>
      <c r="N51" s="20"/>
      <c r="O51" s="20"/>
      <c r="P51" s="20"/>
      <c r="Q51" s="20"/>
      <c r="R51" s="20"/>
      <c r="AR51" s="25"/>
      <c r="AS51" s="25"/>
      <c r="AT51" s="41"/>
      <c r="AU51" s="21"/>
      <c r="CQ51" s="141"/>
      <c r="CR51" s="141"/>
      <c r="CS51" s="141"/>
    </row>
    <row r="52" spans="1:103" ht="16" customHeight="1">
      <c r="A52" s="4">
        <v>3</v>
      </c>
      <c r="B52" s="16" t="s">
        <v>343</v>
      </c>
      <c r="C52" s="15" t="s">
        <v>342</v>
      </c>
      <c r="H52" s="20"/>
      <c r="I52" s="20"/>
      <c r="J52" s="20"/>
      <c r="K52" s="20"/>
      <c r="L52" s="20">
        <v>25.53</v>
      </c>
      <c r="M52" s="20"/>
      <c r="N52" s="20"/>
      <c r="O52" s="20">
        <v>40.4</v>
      </c>
      <c r="P52" s="20"/>
      <c r="Q52" s="20"/>
      <c r="R52" s="20"/>
      <c r="S52" s="20"/>
      <c r="T52" s="20"/>
      <c r="U52" s="9">
        <v>32.869999999999997</v>
      </c>
      <c r="V52" s="9"/>
      <c r="W52" s="9"/>
      <c r="X52" s="9"/>
      <c r="Z52" s="56">
        <v>0.71599999999999997</v>
      </c>
      <c r="AA52" s="56">
        <v>1.2999999999999999E-2</v>
      </c>
      <c r="AB52" s="56"/>
      <c r="AC52" s="56"/>
      <c r="AD52" s="56"/>
      <c r="AE52" s="56">
        <v>0.11600000000000001</v>
      </c>
      <c r="AF52" s="56"/>
      <c r="AG52" s="56"/>
      <c r="AH52" s="56"/>
      <c r="AI52" s="56"/>
      <c r="AJ52" s="56"/>
      <c r="AK52" s="56"/>
      <c r="AL52" s="56">
        <v>7.6E-3</v>
      </c>
      <c r="AM52" s="56">
        <v>7.6E-3</v>
      </c>
      <c r="AN52" s="56">
        <v>0</v>
      </c>
      <c r="AO52" s="56">
        <v>0.1144</v>
      </c>
      <c r="AR52" s="25">
        <f>SUM(H52:AP52)</f>
        <v>99.774600000000007</v>
      </c>
      <c r="AS52" s="86"/>
      <c r="AT52" s="41">
        <f>IF(BA52="Mag",2/3,IF(BA52="Ep",1,0))</f>
        <v>0</v>
      </c>
      <c r="AU52" s="21">
        <f>L52*AT52</f>
        <v>0</v>
      </c>
      <c r="AV52" s="21">
        <f>L52*(1-AT52)</f>
        <v>25.53</v>
      </c>
      <c r="AW52" s="20">
        <f>BH52*BF52/BG52</f>
        <v>0</v>
      </c>
      <c r="AX52" s="20">
        <f>BI52*12.011*BF52/BG52</f>
        <v>0</v>
      </c>
      <c r="AY52" s="85">
        <f>SUM(H52:AP52)+AW52+AX52</f>
        <v>99.774600000000007</v>
      </c>
      <c r="AZ52" s="85"/>
      <c r="BA52" s="45"/>
      <c r="BC52" s="84" t="s">
        <v>341</v>
      </c>
      <c r="BE52" s="50" t="s">
        <v>14</v>
      </c>
      <c r="BF52" s="83">
        <f>IF(BE52="O",X52/15.999,
IF(BE52="S",U52/32.065,
IF(BE52="F",V52/18.998403
)))</f>
        <v>0</v>
      </c>
      <c r="BG52" s="50">
        <v>3</v>
      </c>
      <c r="BH52" s="50">
        <f>IF(BA52="Amph",2-BZ52-CA52,
IF(BA52="Mica",2-BZ52-CA52,
IF(BA52="Ti-Chu",2-BZ52-2*BL52-CA52,
IF(BA52="Ti-Cho",2-BZ52-2*BL52-CA52,
IF(BA52="F-Ph",2-BZ52-CA52,
IF(BA52="Pl",0,
IF(BA52="Dol",0,
IF(BA52="Cb",0,
IF(BA52="Br",2,
IF(BA52="Bal",40,
IF(BA52="Liz",4,
IF(BA52="Ep",1,
IF(BA52="Chum",2-BZ52-CA52,
IF(BA52="Ol",0,
IF(BA52="Opx",0,
IF(BA52="Tlc",2,
IF(BA52="Tr",2,
IF(BA52="Atg",3.647,
IF(BA52="Chl",16,
IF(BA52="Cpx",0,
IF(BA52="Grt",0,
IF(BA52="Fluorite",0,
IF(BA52="Py",0,
IF(BA52="Mag",0,
IF(BA52="Gp",4,
0)))))))))))))))))))))))))</f>
        <v>0</v>
      </c>
      <c r="BI52" s="50">
        <f>IF(BA52="Dol",2,
IF(BA52="Cb",1,
0))</f>
        <v>0</v>
      </c>
      <c r="BJ52" s="12"/>
      <c r="BK52" s="11">
        <f>IF(BC52="%",H52/28.0855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IF(BC52="no",H52/28.0855,
IF(BC52="yes",H52/28.0855*BG52/BF52
)))</f>
        <v>0</v>
      </c>
      <c r="BL52" s="11">
        <f>IF(BC52="%",I52/47.867*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IF(BC52="no",I52/47.867,
IF(BC52="yes",I52/47.867*BG52/BF52
)))</f>
        <v>0</v>
      </c>
      <c r="BM52" s="11">
        <f>IF(BC52="%",J52/26.981539*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IF(BC52="no",J52/26.981539,
IF(BC52="yes",J52/26.981539*BG52/BF52
)))</f>
        <v>0</v>
      </c>
      <c r="BN52" s="11">
        <f>IF(BC52="%",K52/51.9961*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IF(BC52="no",K52/51.9961,
IF(BC52="yes",K52/51.9961*BG52/BF52
)))</f>
        <v>0</v>
      </c>
      <c r="BO52" s="11">
        <f>IF(BC52="%",AV52/55.845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IF(BC52="no",AV52/55.845,
IF(BC52="yes",AV52/55.845*BG52/BF52
)))</f>
        <v>20.926458995975121</v>
      </c>
      <c r="BP52" s="11">
        <f>IF(BC52="%",AU52/55.845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IF(BC52="no",AU52/55.845,
IF(BC52="yes",AU52/55.845*BG52/BF52
)))</f>
        <v>0</v>
      </c>
      <c r="BQ52" s="11">
        <f>IF(BC52="%",M52/54.938044*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IF(BC52="no",M52/54.938044,
IF(BC52="yes",M52/54.938044*BG52/BF52
)))</f>
        <v>0</v>
      </c>
      <c r="BR52" s="11">
        <f>IF(BC52="%",N52/24.305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IF(BC52="no",N52/24.305,
IF(BC52="yes",N52/24.305*BG52/BF52
)))</f>
        <v>0</v>
      </c>
      <c r="BS52" s="11">
        <f>IF(BC52="%",O52/58.6934*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IF(BC52="no",O52/58.6934,
IF(BC52="yes",O52/58.6934*BG52/BF52
)))</f>
        <v>31.508035365551397</v>
      </c>
      <c r="BT52" s="11">
        <f>IF(BC52="%",P52/65.38*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IF(BC52="no",P52/65.38,
IF(BC52="yes",P52/65.38*BG52/BF52
)))</f>
        <v>0</v>
      </c>
      <c r="BU52" s="11">
        <f>IF(BC52="%",Q52/40.078*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IF(BC52="no",Q52/40.078,
IF(BC52="yes",Q52/40.078*BG52/BF52
)))</f>
        <v>0</v>
      </c>
      <c r="BV52" s="11">
        <f>IF(BC52="%",R52/22.989769*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IF(BC52="no",R52/22.989769,
IF(BC52="yes",R52/22.989769*BG52/BF52
)))</f>
        <v>0</v>
      </c>
      <c r="BW52" s="11">
        <f>IF(BC52="%",S52/39.0983*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IF(BC52="no",S52/39.0983,
IF(BC52="yes",S52/39.0983*BG52/BF52
)))</f>
        <v>0</v>
      </c>
      <c r="BX52" s="56">
        <f>IF(BC52="%",T52/39.0983*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IF(BC52="no",T52/39.0983,
IF(BC52="yes",T52/39.0983*BG52/BF52
)))</f>
        <v>0</v>
      </c>
      <c r="BY52" s="11">
        <f>IF(BC52="%",U52/32.065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IF(BC52="no",U52/32.065,
IF(BC52="yes",U52/32.065*BG52/BF52
)))</f>
        <v>46.924287510461276</v>
      </c>
      <c r="BZ52" s="34">
        <f>IF(BC52="%",V52/18.9984*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IF(BC52="no",V52/18.9984,
IF(BC52="yes",V52/18.9984*BG52/BF52
)))</f>
        <v>0</v>
      </c>
      <c r="CA52" s="11">
        <f>IF(BC52="%",W52/35.453*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IF(BC52="no",W52/35.453,
IF(BC52="yes",W52/35.453*BG52/BF52
)))</f>
        <v>0</v>
      </c>
      <c r="CB52" s="11">
        <f>IF(BC52="%",X52/15.999*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IF(BC52="no",X52/15.999,
IF(BC52="yes",X52/15.999*BG52/BF52
)))</f>
        <v>0</v>
      </c>
      <c r="CC52" s="54"/>
      <c r="CD52" s="56">
        <f>IF(BC52="%",Z52/58.933195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IF(BC52="no",Z52/58.933195,
IF(BC52="yes",Z52/58.933195*BG52/BF52
)))</f>
        <v>0.55613760598831108</v>
      </c>
      <c r="CE52" s="56">
        <f>IF(BC52="%",AA52/63.546*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IF(BC52="no",AA52/63.546,
IF(BC52="yes",AA52/63.546*BG52/BF52
)))</f>
        <v>9.3644949795540274E-3</v>
      </c>
      <c r="CF52" s="56">
        <f>IF(BC52="%",AB52/9.012182*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IF(BC52="no",AB52/9.012182,
IF(BC52="yes",AB52/9.012182*BG52/BF52
)))</f>
        <v>0</v>
      </c>
      <c r="CG52" s="56">
        <f>IF(BC52="%",AC52/137.327*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IF(BC52="no",AC52/137.327,
IF(BC52="yes",AC52/137.327*BG52/BF52
)))</f>
        <v>0</v>
      </c>
      <c r="CH52" s="56">
        <f>IF(BC52="%",AD52/87.62*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IF(BC52="no",AD52/87.62,
IF(BC52="yes",AD52/87.62*BG52/BF52
)))</f>
        <v>0</v>
      </c>
      <c r="CI52" s="56">
        <f>IF(BC52="%",AE52/207.2*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IF(BC52="no",AE52/207.2,
IF(BC52="yes",AE52/207.2*BG52/BF52
)))</f>
        <v>2.5626982092592024E-2</v>
      </c>
      <c r="CJ52" s="56">
        <f>IF(BC52="%",AF52/50.9415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IF(BC52="no",AF52/50.9415,
IF(BC52="yes",AF52/50.9415*BG52/BF52
)))</f>
        <v>0</v>
      </c>
      <c r="CK52" s="56">
        <f>IF(BC52="%",AG52/118.71*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IF(BC52="no",AG52/118.71,
IF(BC52="yes",AG52/118.71*BG52/BF52
)))</f>
        <v>0</v>
      </c>
      <c r="CL52" s="56">
        <f>IF(BC52="%",AH52/91.224*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IF(BC52="no",AH52/91.224,
IF(BC52="yes",AH52/91.224*BG52/BF52
)))</f>
        <v>0</v>
      </c>
      <c r="CM52" s="56">
        <f>IF(BC52="%",AI52/88.90585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IF(BC52="no",AI52/88.90585,
IF(BC52="yes",AI52/88.90585*BG52/BF52
)))</f>
        <v>0</v>
      </c>
      <c r="CN52" s="56">
        <f>IF(BC52="%",AJ52/95.95*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IF(BC52="no",AJ52/95.95,
IF(BC52="yes",AJ52/95.95*BG52/BF52
)))</f>
        <v>0</v>
      </c>
      <c r="CO52" s="56">
        <f>IF(BC52="%",AK52/183.84*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IF(BC52="no",AK52/183.84,
IF(BC52="yes",AK52/183.84*BG52/BF52
)))</f>
        <v>0</v>
      </c>
      <c r="CP52" s="56">
        <f>IF(BC52="%",AL52/74.9216*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IF(BC52="no",AL52/74.9216,
IF(BC52="yes",AL52/74.9216*BG52/BF52
)))</f>
        <v>4.643396568574684E-3</v>
      </c>
      <c r="CQ52" s="56">
        <f>IF(BC52="%",AM52/78.96*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IF(BC52="no",AM52/78.96,
IF(BC52="yes",AM52/78.96*BG52/BF52
)))</f>
        <v>4.4059105920988481E-3</v>
      </c>
      <c r="CR52" s="56">
        <f>IF(BC52="%",AN52/121.76*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IF(BC52="no",AN52/121.76,
IF(BC52="yes",AN52/121.76*BG52/BF52
)))</f>
        <v>0</v>
      </c>
      <c r="CS52" s="56">
        <f>IF(BC52="%",AO52/127.6*100/(H52/28.0855+I52/47.867+J52/26.981539+K52/51.9961+AV52/55.845+AU52/55.845+M52/54.938044+N52/24.305+O52/58.6934+P52/65.38+Q52/40.078+R52/22.989769+S52/39.0983+T52/30.973762+Z52/58.933195+AA52/63.546+AB52/9.012182+AC52/137.327+AD52/87.62+AE52/207.2+AF52/50.9415+AG52/118.71+AH52/91.224+AI52/88.90585+AJ52/95.95+AK52/183.84+AL52/74.9216+AM52/78.96+AN52/121.76+AO52/127.6+V52/18.9984+W52/35.453+X52/15.999+U52/32.065),
IF(BC52="no",AO52/127.6,
IF(BC52="yes",AO52/127.6*BG52/BF52
)))</f>
        <v>4.1039737791085537E-2</v>
      </c>
      <c r="CT52" s="54"/>
      <c r="CV52" s="107">
        <f>IF(BC52="%",SUM(BK52:CS52),"")</f>
        <v>99.999999999999986</v>
      </c>
      <c r="CX52" s="12">
        <f>SUM(BK52:BX52,CD52:CP52)</f>
        <v>53.030266841155552</v>
      </c>
      <c r="CY52" s="12">
        <f>BZ52+CA52+CB52+BY52</f>
        <v>46.924287510461276</v>
      </c>
    </row>
    <row r="53" spans="1:103" ht="16" customHeight="1">
      <c r="B53" s="17" t="s">
        <v>345</v>
      </c>
      <c r="H53" s="20"/>
      <c r="I53" s="20"/>
      <c r="J53" s="20"/>
      <c r="K53" s="20"/>
      <c r="L53" s="20">
        <v>72.36</v>
      </c>
      <c r="M53" s="20"/>
      <c r="N53" s="20"/>
      <c r="O53" s="20"/>
      <c r="P53" s="20"/>
      <c r="Q53" s="20"/>
      <c r="R53" s="20"/>
      <c r="U53" s="9"/>
      <c r="V53" s="9"/>
      <c r="W53" s="9"/>
      <c r="X53" s="9">
        <v>27.64</v>
      </c>
      <c r="AR53" s="25">
        <f>SUM(H53:AP53)</f>
        <v>100</v>
      </c>
      <c r="AS53" s="86"/>
      <c r="AT53" s="41">
        <f>IF(BA53="Mag",2/3,IF(BA53="Ep",1,0))</f>
        <v>0</v>
      </c>
      <c r="AU53" s="21">
        <f>L53*AT53</f>
        <v>0</v>
      </c>
      <c r="AV53" s="21">
        <f>L53*(1-AT53)</f>
        <v>72.36</v>
      </c>
      <c r="AW53" s="20">
        <f>BH53*BF53/BG53</f>
        <v>0</v>
      </c>
      <c r="AX53" s="20">
        <f>BI53*12.011*BF53/BG53</f>
        <v>0</v>
      </c>
      <c r="AY53" s="85">
        <f>SUM(H53:AP53)+AW53+AX53</f>
        <v>100</v>
      </c>
      <c r="AZ53" s="85"/>
      <c r="BA53" s="45" t="s">
        <v>496</v>
      </c>
      <c r="BC53" s="84" t="s">
        <v>495</v>
      </c>
      <c r="BE53" s="50" t="s">
        <v>14</v>
      </c>
      <c r="BF53" s="83">
        <f>IF(BE53="O",X53/15.999,
IF(BE53="S",U53/32.065,
IF(BE53="F",V53/18.998403
)))</f>
        <v>1.7276079754984686</v>
      </c>
      <c r="BG53" s="50">
        <v>4</v>
      </c>
      <c r="BH53" s="50">
        <f>IF(BA53="Amph",2-BZ53-CA53,
IF(BA53="Mica",2-BZ53-CA53,
IF(BA53="Ti-Chu",2-BZ53-2*BL53-CA53,
IF(BA53="Ti-Cho",2-BZ53-2*BL53-CA53,
IF(BA53="F-Ph",2-BZ53-CA53,
IF(BA53="Pl",0,
IF(BA53="Dol",0,
IF(BA53="Cb",0,
IF(BA53="Br",2,
IF(BA53="Bal",40,
IF(BA53="Liz",4,
IF(BA53="Ep",1,
IF(BA53="Chum",2-BZ53-CA53,
IF(BA53="Ol",0,
IF(BA53="Opx",0,
IF(BA53="Tlc",2,
IF(BA53="Tr",2,
IF(BA53="Atg",3.647,
IF(BA53="Chl",16,
IF(BA53="Cpx",0,
IF(BA53="Grt",0,
IF(BA53="Fluorite",0,
IF(BA53="Py",0,
IF(BA53="Mag",0,
IF(BA53="Gp",4,
0)))))))))))))))))))))))))</f>
        <v>0</v>
      </c>
      <c r="BI53" s="50">
        <f>IF(BA53="Dol",2,
IF(BA53="Cb",1,
0))</f>
        <v>0</v>
      </c>
      <c r="BJ53" s="12"/>
      <c r="BK53" s="11">
        <f>IF(BC53="%",H53/28.0855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IF(BC53="no",H53/28.0855,
IF(BC53="yes",H53/28.0855*BG53/BF53,
IF(BC53="yes_O",H53/28.0855*BG53/BF53
))))</f>
        <v>0</v>
      </c>
      <c r="BL53" s="11">
        <f>IF(BC53="%",I53/47.867*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IF(BC53="no",I53/47.867,
IF(BC53="yes",I53/47.867*BG53/BF53,
IF(BC53="yes_O",I53/47.867*BG53/BF53
))))</f>
        <v>0</v>
      </c>
      <c r="BM53" s="11">
        <f>IF(BC53="%",J53/26.981539*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IF(BC53="no",J53/26.981539,
IF(BC53="yes",J53/26.981539*BG53/BF53,
IF(BC53="yes_O",J53/26.981539*BG53/BF53
))))</f>
        <v>0</v>
      </c>
      <c r="BN53" s="11">
        <f>IF(BC53="%",K53/51.9961*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IF(BC53="no",K53/51.9961,
IF(BC53="yes",K53/51.9961*BG53/BF53,
IF(BC53="yes_O",K53/51.9961*BG53/BF53
))))</f>
        <v>0</v>
      </c>
      <c r="BO53" s="11">
        <f>IF(BK53="%",AV53/55.845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IF(BC53="no",AV53/55.845,
IF(BC53="yes",AV53/55.845*BG53/BF53,
IF(BC53="yes_O", 3*L53/55.845/BF53*BG53-2*(CB53-2*BK53-2*BL53-3/2*BM53-3/2*BN53-BQ53-BR53-BS53-BT53-BU53-1/2*BV53-1/2*BW53-5/2*BX53)
))))</f>
        <v>1.0001616268099927</v>
      </c>
      <c r="BP53" s="11">
        <f>IF(BC53="%",AU53/55.845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IF(BC53="no",AU53/55.845,
IF(BC53="yes",AU53/55.845*BG53/BF53,
IF(BC53="yes_O", 2*((CB53-2*BK53-2*BL53-3/2*BM53-3/2*BN53-BQ53-BR53-BS53-BT53-BU53-1/2*BV53-1/2*BW53-5/2*BX53)-L53/55.845/BF53*BG53)
))))</f>
        <v>1.999892248793337</v>
      </c>
      <c r="BQ53" s="11">
        <f>IF(BC53="%",M53/54.938044*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IF(BC53="no",M53/54.938044,
IF(BC53="yes",M53/54.938044*BG53/BF53,
IF(BC53="yes_O",M53/54.938044*BG53/BF53
))))</f>
        <v>0</v>
      </c>
      <c r="BR53" s="11">
        <f>IF(BC53="%",N53/24.305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IF(BC53="no",N53/24.305,
IF(BC53="yes",N53/24.305*BG53/BF53,
IF(BC53="yes_O",N53/24.305*BG53/BF53
))))</f>
        <v>0</v>
      </c>
      <c r="BS53" s="11">
        <f>IF(BC53="%",O53/58.6934*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IF(BC53="no",O53/58.6934,
IF(BC53="yes",O53/58.6934*BG53/BF53,
IF(BC53="yes_O",O53/58.6934*BG53/BF53
))))</f>
        <v>0</v>
      </c>
      <c r="BT53" s="11">
        <f>IF(BC53="%",P53/65.38*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IF(BC53="no",P53/65.38,
IF(BC53="yes",P53/65.38*BG53/BF53,
IF(BC53="yes_O",P53/65.38*BG53/BF53
))))</f>
        <v>0</v>
      </c>
      <c r="BU53" s="11">
        <f>IF(BC53="%",Q53/40.078*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IF(BC53="no",Q53/40.078,
IF(BC53="yes",Q53/40.078*BG53/BF53,
IF(BC53="yes_O",Q53/40.078*BG53/BF53
))))</f>
        <v>0</v>
      </c>
      <c r="BV53" s="11">
        <f>IF(BC53="%",R53/22.989769*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IF(BC53="no",R53/22.989769,
IF(BC53="yes",R53/22.989769*BG53/BF53,
IF(BC53="yes_O",R53/22.989769*BG53/BF53
))))</f>
        <v>0</v>
      </c>
      <c r="BW53" s="11">
        <f>IF(BC53="%",S53/39.0983*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IF(BC53="no",S53/39.0983,
IF(BC53="yes",S53/39.0983*BG53/BF53,
IF(BC53="yes_O",S53/39.0983*BG53/BF53
))))</f>
        <v>0</v>
      </c>
      <c r="BX53" s="56">
        <f>IF(BC53="%",T53/39.0983*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IF(BC53="no",T53/39.0983,
IF(BC53="yes",T53/39.0983*BG53/BF53,
IF(BC53="yes_O",T53/39.0983*BG53/BF53
))))</f>
        <v>0</v>
      </c>
      <c r="BY53" s="11">
        <f>IF(BC53="%",U53/32.065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IF(BC53="no",U53/32.065,
IF(BC53="yes",U53/32.065*BG53/BF53,
IF(BC53="yes_O",U53/32.065*BG53/BF53
))))</f>
        <v>0</v>
      </c>
      <c r="BZ53" s="34">
        <f>IF(BC53="%",V53/18.9984*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IF(BC53="no",V53/18.9984,
IF(BC53="yes",V53/18.9984*BG53/BF53,
IF(BC53="yes_O",V53/18.9984*BG53/BF53
))))</f>
        <v>0</v>
      </c>
      <c r="CA53" s="11">
        <f>IF(BC53="%",W53/35.453*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IF(BC53="no",W53/35.453,
IF(BC53="yes",W53/35.453*BG53/BF53,
IF(BC53="yes_O",W53/35.453*BG53/BF53
))))</f>
        <v>0</v>
      </c>
      <c r="CB53" s="11">
        <f>IF(BC53="%",X53/15.999*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IF(BC53="no",X53/15.999,
IF(BC53="yes",X53/15.999*BG53/BF53,
IF(BC53="yes_O",X53/15.999*BG53/BF53
))))</f>
        <v>4</v>
      </c>
      <c r="CC53" s="54"/>
      <c r="CD53" s="56">
        <f>IF(BC53="%",Z53/58.933195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IF(BC53="no",Z53/58.933195,
IF(BC53="yes",Z53/58.933195*BG53/BF53,
IF(BC53="yes_O",Z53/58.933195*BG53/BF53
))))</f>
        <v>0</v>
      </c>
      <c r="CE53" s="56">
        <f>IF(BC53="%",AA53/63.546*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IF(BC53="no",AA53/63.546,
IF(BC53="yes",AA53/63.546*BG53/BF53,
IF(BC53="yes_O",AA53/63.546*BG53/BF53
))))</f>
        <v>0</v>
      </c>
      <c r="CF53" s="56">
        <f>IF(BC53="%",AB53/9.012182*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IF(BC53="no",AB53/9.012182,
IF(BC53="yes",AB53/9.012182*BG53/BF53,
IF(BC53="yes_O",AB53/9.012182*BG53/BF53
))))</f>
        <v>0</v>
      </c>
      <c r="CG53" s="56">
        <f>IF(BC53="%",AC53/137.327*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IF(BC53="no",AC53/137.327,
IF(BC53="yes",AC53/137.327*BG53/BF53,
IF(BC53="yes_O",AC53/137.327*BG53/BF53
))))</f>
        <v>0</v>
      </c>
      <c r="CH53" s="56">
        <f>IF(BC53="%",AD53/87.62*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IF(BC53="no",AD53/87.62,
IF(BC53="yes",AD53/87.62*BG53/BF53,
IF(BC53="yes_O",AD53/87.62*BG53/BF53
))))</f>
        <v>0</v>
      </c>
      <c r="CI53" s="56">
        <f>IF(BC53="%",AE53/207.2*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IF(BC53="no",AE53/207.2,
IF(BC53="yes",AE53/207.2*BG53/BF53,
IF(BC53="yes_O",AE53/207.2*BG53/BF53
))))</f>
        <v>0</v>
      </c>
      <c r="CJ53" s="56">
        <f>IF(BC53="%",AF53/50.9415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IF(BC53="no",AF53/50.9415,
IF(BC53="yes",AF53/50.9415*BG53/BF53,
IF(BC53="yes_O",AF53/50.9415*BG53/BF53
))))</f>
        <v>0</v>
      </c>
      <c r="CK53" s="56">
        <f>IF(BC53="%",AG53/118.71*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IF(BC53="no",AG53/118.71,
IF(BC53="yes",AG53/118.71*BG53/BF53,
IF(BC53="yes_O",AG53/118.71*BG53/BF53
))))</f>
        <v>0</v>
      </c>
      <c r="CL53" s="56">
        <f>IF(BC53="%",AH53/91.224*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IF(BC53="no",AH53/91.224,
IF(BC53="yes",AH53/91.224*BG53/BF53,
IF(BC53="yes_O",AH53/91.224*BG53/BF53
))))</f>
        <v>0</v>
      </c>
      <c r="CM53" s="56">
        <f>IF(BC53="%",AI53/88.90585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IF(BC53="no",AI53/88.90585,
IF(BC53="yes",AI53/88.90585*BG53/BF53,
IF(BC53="yes_O",AI53/88.90585*BG53/BF53
))))</f>
        <v>0</v>
      </c>
      <c r="CN53" s="56">
        <f>IF(BC53="%",AJ53/95.95*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IF(BC53="no",AJ53/95.95,
IF(BC53="yes",AJ53/95.95*BG53/BF53,
IF(BC53="yes_O",AJ53/95.95*BG53/BF53
))))</f>
        <v>0</v>
      </c>
      <c r="CO53" s="56">
        <f>IF(BC53="%",AK53/183.84*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IF(BC53="no",AK53/183.84,
IF(BC53="yes",AK53/183.84*BG53/BF53,
IF(BC53="yes_O",AK53/183.84*BG53/BF53
))))</f>
        <v>0</v>
      </c>
      <c r="CP53" s="56">
        <f>IF(BC53="%",AL53/74.9216*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IF(BC53="no",AL53/74.9216,
IF(BC53="yes",AL53/74.9216*BG53/BF53,
IF(BC53="yes_O",AL53/74.9216*BG53/BF53
))))</f>
        <v>0</v>
      </c>
      <c r="CQ53" s="56">
        <f>IF(BC53="%",AM53/78.96*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IF(BC53="no",AM53/78.96,
IF(BC53="yes",AM53/78.96*BG53/BF53,
IF(BC53="yes_O",AM53/78.96*BG53/BF53
))))</f>
        <v>0</v>
      </c>
      <c r="CR53" s="56">
        <f>IF(BC53="%",AN53/121.76*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IF(BC53="no",AN53/121.76,
IF(BC53="yes",AN53/121.76*BG53/BF53,
IF(BC53="yes_O",AN53/121.76*BG53/BF53
))))</f>
        <v>0</v>
      </c>
      <c r="CS53" s="56">
        <f>IF(BC53="%",AO53/127.6*100/(H53/28.0855+I53/47.867+J53/26.981539+K53/51.9961+AV53/55.845+AU53/55.845+M53/54.938044+N53/24.305+O53/58.6934+P53/65.38+Q53/40.078+R53/22.989769+S53/39.0983+T53/30.973762+Z53/58.933195+AA53/63.546+AB53/9.012182+AC53/137.327+AD53/87.62+AE53/207.2+AF53/50.9415+AG53/118.71+AH53/91.224+AI53/88.90585+AJ53/95.95+AK53/183.84+AL53/74.9216+AM53/78.96+AN53/121.76+AO53/127.6+V53/18.9984+W53/35.453+X53/15.999+U53/32.065),
IF(BC53="no",AO53/127.6,
IF(BC53="yes",AO53/127.6*BG53/BF53,
IF(BC53="yes_O",AO53/127.6*BG53/BF53
))))</f>
        <v>0</v>
      </c>
      <c r="CT53" s="54"/>
      <c r="CV53" s="107" t="str">
        <f>IF(BC53="%",SUM(BK53:CS53),"")</f>
        <v/>
      </c>
      <c r="CX53" s="12">
        <f>SUM(BK53:BX53,CD53:CP53)</f>
        <v>3.0000538756033297</v>
      </c>
      <c r="CY53" s="12">
        <f>BZ53+CA53+CB53+BY53</f>
        <v>4</v>
      </c>
    </row>
    <row r="54" spans="1:103" ht="16" customHeight="1">
      <c r="H54" s="20"/>
      <c r="I54" s="20"/>
      <c r="J54" s="20"/>
      <c r="K54" s="20"/>
      <c r="L54" s="20"/>
      <c r="M54" s="20"/>
      <c r="N54" s="20"/>
      <c r="O54" s="20"/>
      <c r="P54" s="20"/>
      <c r="Q54" s="20"/>
      <c r="R54" s="20"/>
      <c r="AR54" s="25"/>
      <c r="AS54" s="25"/>
      <c r="AT54" s="41"/>
      <c r="AU54" s="21"/>
    </row>
    <row r="55" spans="1:103" ht="16" customHeight="1">
      <c r="H55" s="20"/>
      <c r="I55" s="20"/>
      <c r="J55" s="20"/>
      <c r="K55" s="20"/>
      <c r="L55" s="20"/>
      <c r="M55" s="20"/>
      <c r="N55" s="20"/>
      <c r="O55" s="20"/>
      <c r="P55" s="20"/>
      <c r="Q55" s="20"/>
      <c r="R55" s="20"/>
      <c r="AR55" s="25"/>
      <c r="AS55" s="25"/>
      <c r="AT55" s="41"/>
      <c r="AU55" s="21"/>
    </row>
    <row r="56" spans="1:103" ht="16" customHeight="1">
      <c r="H56" s="20"/>
      <c r="I56" s="20"/>
      <c r="J56" s="20"/>
      <c r="K56" s="20"/>
      <c r="L56" s="20"/>
      <c r="M56" s="20"/>
      <c r="N56" s="20"/>
      <c r="O56" s="20"/>
      <c r="P56" s="20"/>
      <c r="Q56" s="20"/>
      <c r="R56" s="20"/>
      <c r="AR56" s="25"/>
      <c r="AS56" s="25"/>
      <c r="AT56" s="41"/>
      <c r="AU56" s="21"/>
    </row>
    <row r="57" spans="1:103" ht="16" customHeight="1">
      <c r="H57" s="20"/>
      <c r="I57" s="20"/>
      <c r="J57" s="20"/>
      <c r="K57" s="20"/>
      <c r="L57" s="20"/>
      <c r="M57" s="20"/>
      <c r="N57" s="20"/>
      <c r="O57" s="20"/>
      <c r="P57" s="20"/>
      <c r="Q57" s="20"/>
      <c r="R57" s="20"/>
      <c r="AR57" s="25"/>
      <c r="AS57" s="25"/>
      <c r="AT57" s="41"/>
      <c r="AU57" s="21"/>
    </row>
    <row r="58" spans="1:103" ht="16" customHeight="1">
      <c r="H58" s="20"/>
      <c r="I58" s="20"/>
      <c r="J58" s="20"/>
      <c r="K58" s="20"/>
      <c r="L58" s="20"/>
      <c r="M58" s="20"/>
      <c r="N58" s="20"/>
      <c r="O58" s="20"/>
      <c r="P58" s="20"/>
      <c r="Q58" s="20"/>
      <c r="R58" s="20"/>
      <c r="AR58" s="25"/>
      <c r="AS58" s="25"/>
      <c r="AT58" s="41"/>
      <c r="AU58" s="21"/>
    </row>
    <row r="59" spans="1:103" ht="16" customHeight="1">
      <c r="H59" s="20"/>
      <c r="I59" s="20"/>
      <c r="J59" s="20"/>
      <c r="K59" s="20"/>
      <c r="L59" s="20"/>
      <c r="M59" s="20"/>
      <c r="N59" s="20"/>
      <c r="O59" s="20"/>
      <c r="P59" s="20"/>
      <c r="Q59" s="20"/>
      <c r="R59" s="20"/>
      <c r="AR59" s="25"/>
      <c r="AS59" s="25"/>
      <c r="AT59" s="41"/>
      <c r="AU59" s="21"/>
    </row>
    <row r="60" spans="1:103" ht="16" customHeight="1">
      <c r="H60" s="20"/>
      <c r="I60" s="20"/>
      <c r="J60" s="20"/>
      <c r="K60" s="20"/>
      <c r="L60" s="20"/>
      <c r="M60" s="20"/>
      <c r="N60" s="20"/>
      <c r="O60" s="20"/>
      <c r="P60" s="20"/>
      <c r="Q60" s="20"/>
      <c r="R60" s="20"/>
      <c r="AR60" s="25"/>
      <c r="AS60" s="25"/>
      <c r="AT60" s="41"/>
      <c r="AU60" s="21"/>
    </row>
    <row r="61" spans="1:103" ht="16" customHeight="1">
      <c r="H61" s="20"/>
      <c r="I61" s="20"/>
      <c r="J61" s="20"/>
      <c r="K61" s="20"/>
      <c r="L61" s="20"/>
      <c r="M61" s="20"/>
      <c r="N61" s="20"/>
      <c r="O61" s="20"/>
      <c r="P61" s="20"/>
      <c r="Q61" s="20"/>
      <c r="R61" s="20"/>
      <c r="AR61" s="25"/>
      <c r="AS61" s="25"/>
      <c r="AT61" s="41"/>
      <c r="AU61" s="21"/>
    </row>
    <row r="62" spans="1:103" ht="16" customHeight="1">
      <c r="H62" s="20"/>
      <c r="I62" s="20"/>
      <c r="J62" s="20"/>
      <c r="K62" s="20"/>
      <c r="L62" s="20"/>
      <c r="M62" s="20"/>
      <c r="N62" s="20"/>
      <c r="O62" s="20"/>
      <c r="P62" s="20"/>
      <c r="Q62" s="20"/>
      <c r="R62" s="20"/>
      <c r="AR62" s="25"/>
      <c r="AS62" s="25"/>
      <c r="AT62" s="41"/>
      <c r="AU62" s="21"/>
    </row>
    <row r="63" spans="1:103" ht="16" customHeight="1">
      <c r="H63" s="20"/>
      <c r="I63" s="20"/>
      <c r="J63" s="20"/>
      <c r="K63" s="20"/>
      <c r="L63" s="20"/>
      <c r="M63" s="20"/>
      <c r="N63" s="20"/>
      <c r="O63" s="20"/>
      <c r="P63" s="20"/>
      <c r="Q63" s="20"/>
      <c r="R63" s="20"/>
      <c r="AR63" s="25"/>
      <c r="AS63" s="25"/>
      <c r="AT63" s="41"/>
      <c r="AU63" s="21"/>
    </row>
    <row r="64" spans="1:103" ht="16" customHeight="1">
      <c r="H64" s="20"/>
      <c r="I64" s="20"/>
      <c r="J64" s="20"/>
      <c r="K64" s="20"/>
      <c r="L64" s="20"/>
      <c r="M64" s="20"/>
      <c r="N64" s="20"/>
      <c r="O64" s="20"/>
      <c r="P64" s="20"/>
      <c r="Q64" s="20"/>
      <c r="R64" s="20"/>
      <c r="AR64" s="25"/>
      <c r="AS64" s="25"/>
      <c r="AT64" s="41"/>
      <c r="AU64" s="21"/>
    </row>
    <row r="65" spans="8:47" ht="16" customHeight="1">
      <c r="H65" s="20"/>
      <c r="I65" s="20"/>
      <c r="J65" s="20"/>
      <c r="K65" s="20"/>
      <c r="L65" s="20"/>
      <c r="M65" s="20"/>
      <c r="N65" s="20"/>
      <c r="O65" s="20"/>
      <c r="P65" s="20"/>
      <c r="Q65" s="20"/>
      <c r="R65" s="20"/>
      <c r="AR65" s="25"/>
      <c r="AS65" s="25"/>
      <c r="AT65" s="41"/>
      <c r="AU65" s="21"/>
    </row>
    <row r="66" spans="8:47" ht="16" customHeight="1">
      <c r="H66" s="20"/>
      <c r="I66" s="20"/>
      <c r="J66" s="20"/>
      <c r="K66" s="20"/>
      <c r="L66" s="20"/>
      <c r="M66" s="20"/>
      <c r="N66" s="20"/>
      <c r="O66" s="20"/>
      <c r="P66" s="20"/>
      <c r="Q66" s="20"/>
      <c r="R66" s="20"/>
      <c r="AR66" s="25"/>
      <c r="AS66" s="25"/>
      <c r="AT66" s="41"/>
      <c r="AU66" s="21"/>
    </row>
    <row r="67" spans="8:47" ht="16" customHeight="1">
      <c r="H67" s="20"/>
      <c r="I67" s="20"/>
      <c r="J67" s="20"/>
      <c r="K67" s="20"/>
      <c r="L67" s="20"/>
      <c r="M67" s="20"/>
      <c r="N67" s="20"/>
      <c r="O67" s="20"/>
      <c r="P67" s="20"/>
      <c r="Q67" s="20"/>
      <c r="R67" s="20"/>
      <c r="AR67" s="25"/>
      <c r="AS67" s="25"/>
      <c r="AT67" s="41"/>
      <c r="AU67" s="21"/>
    </row>
    <row r="68" spans="8:47" ht="16" customHeight="1">
      <c r="H68" s="20"/>
      <c r="I68" s="20"/>
      <c r="J68" s="20"/>
      <c r="K68" s="20"/>
      <c r="L68" s="20"/>
      <c r="M68" s="20"/>
      <c r="N68" s="20"/>
      <c r="O68" s="20"/>
      <c r="P68" s="20"/>
      <c r="Q68" s="20"/>
      <c r="R68" s="20"/>
      <c r="AR68" s="25"/>
      <c r="AS68" s="25"/>
      <c r="AT68" s="41"/>
      <c r="AU68" s="21"/>
    </row>
    <row r="69" spans="8:47" ht="16" customHeight="1">
      <c r="H69" s="20"/>
      <c r="I69" s="20"/>
      <c r="J69" s="20"/>
      <c r="K69" s="20"/>
      <c r="L69" s="20"/>
      <c r="M69" s="20"/>
      <c r="N69" s="20"/>
      <c r="O69" s="20"/>
      <c r="P69" s="20"/>
      <c r="Q69" s="20"/>
      <c r="R69" s="20"/>
      <c r="AR69" s="25"/>
      <c r="AS69" s="25"/>
      <c r="AT69" s="41"/>
      <c r="AU69" s="21"/>
    </row>
    <row r="70" spans="8:47" ht="16" customHeight="1">
      <c r="H70" s="20"/>
      <c r="I70" s="20"/>
      <c r="J70" s="20"/>
      <c r="K70" s="20"/>
      <c r="L70" s="20"/>
      <c r="M70" s="20"/>
      <c r="N70" s="20"/>
      <c r="O70" s="20"/>
      <c r="P70" s="20"/>
      <c r="Q70" s="20"/>
      <c r="R70" s="20"/>
      <c r="AR70" s="25"/>
      <c r="AS70" s="25"/>
      <c r="AT70" s="41"/>
      <c r="AU70" s="21"/>
    </row>
    <row r="71" spans="8:47" ht="16" customHeight="1">
      <c r="H71" s="20"/>
      <c r="I71" s="20"/>
      <c r="J71" s="20"/>
      <c r="K71" s="20"/>
      <c r="L71" s="20"/>
      <c r="M71" s="20"/>
      <c r="N71" s="20"/>
      <c r="O71" s="20"/>
      <c r="P71" s="20"/>
      <c r="Q71" s="20"/>
      <c r="R71" s="20"/>
      <c r="AR71" s="25"/>
      <c r="AS71" s="25"/>
      <c r="AT71" s="41"/>
      <c r="AU71" s="21"/>
    </row>
    <row r="72" spans="8:47" ht="16" customHeight="1">
      <c r="H72" s="20"/>
      <c r="I72" s="20"/>
      <c r="J72" s="20"/>
      <c r="K72" s="20"/>
      <c r="L72" s="20"/>
      <c r="M72" s="20"/>
      <c r="N72" s="20"/>
      <c r="O72" s="20"/>
      <c r="P72" s="20"/>
      <c r="Q72" s="20"/>
      <c r="R72" s="20"/>
      <c r="AR72" s="25"/>
      <c r="AS72" s="25"/>
      <c r="AT72" s="41"/>
      <c r="AU72" s="21"/>
    </row>
    <row r="73" spans="8:47" ht="16" customHeight="1">
      <c r="H73" s="20"/>
      <c r="I73" s="20"/>
      <c r="J73" s="20"/>
      <c r="K73" s="20"/>
      <c r="L73" s="20"/>
      <c r="M73" s="20"/>
      <c r="N73" s="20"/>
      <c r="O73" s="20"/>
      <c r="P73" s="20"/>
      <c r="Q73" s="20"/>
      <c r="R73" s="20"/>
      <c r="AR73" s="25"/>
      <c r="AS73" s="25"/>
      <c r="AT73" s="41"/>
      <c r="AU73" s="21"/>
    </row>
    <row r="74" spans="8:47" ht="16" customHeight="1">
      <c r="H74" s="20"/>
      <c r="I74" s="20"/>
      <c r="J74" s="20"/>
      <c r="K74" s="20"/>
      <c r="L74" s="20"/>
      <c r="M74" s="20"/>
      <c r="N74" s="20"/>
      <c r="O74" s="20"/>
      <c r="P74" s="20"/>
      <c r="Q74" s="20"/>
      <c r="R74" s="20"/>
      <c r="AR74" s="25"/>
      <c r="AS74" s="25"/>
      <c r="AT74" s="41"/>
      <c r="AU74" s="21"/>
    </row>
    <row r="75" spans="8:47" ht="16" customHeight="1">
      <c r="H75" s="20"/>
      <c r="I75" s="20"/>
      <c r="J75" s="20"/>
      <c r="K75" s="20"/>
      <c r="L75" s="20"/>
      <c r="M75" s="20"/>
      <c r="N75" s="20"/>
      <c r="O75" s="20"/>
      <c r="P75" s="20"/>
      <c r="Q75" s="20"/>
      <c r="R75" s="20"/>
      <c r="AR75" s="25"/>
      <c r="AS75" s="25"/>
      <c r="AT75" s="41"/>
      <c r="AU75" s="21"/>
    </row>
    <row r="76" spans="8:47" ht="16" customHeight="1">
      <c r="H76" s="20"/>
      <c r="I76" s="20"/>
      <c r="J76" s="20"/>
      <c r="K76" s="20"/>
      <c r="L76" s="20"/>
      <c r="M76" s="20"/>
      <c r="N76" s="20"/>
      <c r="O76" s="20"/>
      <c r="P76" s="20"/>
      <c r="Q76" s="20"/>
      <c r="R76" s="20"/>
      <c r="AR76" s="25"/>
      <c r="AS76" s="25"/>
      <c r="AT76" s="41"/>
      <c r="AU76" s="21"/>
    </row>
    <row r="77" spans="8:47" ht="16" customHeight="1">
      <c r="H77" s="20"/>
      <c r="I77" s="20"/>
      <c r="J77" s="20"/>
      <c r="K77" s="20"/>
      <c r="L77" s="20"/>
      <c r="M77" s="20"/>
      <c r="N77" s="20"/>
      <c r="O77" s="20"/>
      <c r="P77" s="20"/>
      <c r="Q77" s="20"/>
      <c r="R77" s="20"/>
      <c r="AR77" s="25"/>
      <c r="AS77" s="25"/>
      <c r="AT77" s="41"/>
      <c r="AU77" s="21"/>
    </row>
    <row r="78" spans="8:47" ht="16" customHeight="1">
      <c r="H78" s="20"/>
      <c r="I78" s="20"/>
      <c r="J78" s="20"/>
      <c r="K78" s="20"/>
      <c r="L78" s="20"/>
      <c r="M78" s="20"/>
      <c r="N78" s="20"/>
      <c r="O78" s="20"/>
      <c r="P78" s="20"/>
      <c r="Q78" s="20"/>
      <c r="R78" s="20"/>
      <c r="AR78" s="25"/>
      <c r="AS78" s="25"/>
      <c r="AT78" s="41"/>
      <c r="AU78" s="21"/>
    </row>
    <row r="79" spans="8:47" ht="16" customHeight="1">
      <c r="H79" s="20"/>
      <c r="I79" s="20"/>
      <c r="J79" s="20"/>
      <c r="K79" s="20"/>
      <c r="L79" s="20"/>
      <c r="M79" s="20"/>
      <c r="N79" s="20"/>
      <c r="O79" s="20"/>
      <c r="P79" s="20"/>
      <c r="Q79" s="20"/>
      <c r="R79" s="20"/>
      <c r="AR79" s="25"/>
      <c r="AS79" s="25"/>
      <c r="AT79" s="41"/>
      <c r="AU79" s="21"/>
    </row>
    <row r="80" spans="8:47" ht="16" customHeight="1">
      <c r="H80" s="20"/>
      <c r="I80" s="20"/>
      <c r="J80" s="20"/>
      <c r="K80" s="20"/>
      <c r="L80" s="20"/>
      <c r="M80" s="20"/>
      <c r="N80" s="20"/>
      <c r="O80" s="20"/>
      <c r="P80" s="20"/>
      <c r="Q80" s="20"/>
      <c r="R80" s="20"/>
      <c r="AR80" s="25"/>
      <c r="AS80" s="25"/>
      <c r="AT80" s="41"/>
      <c r="AU80" s="21"/>
    </row>
    <row r="81" spans="8:47" ht="16" customHeight="1">
      <c r="H81" s="20"/>
      <c r="I81" s="20"/>
      <c r="J81" s="20"/>
      <c r="K81" s="20"/>
      <c r="L81" s="20"/>
      <c r="M81" s="20"/>
      <c r="N81" s="20"/>
      <c r="O81" s="20"/>
      <c r="P81" s="20"/>
      <c r="Q81" s="20"/>
      <c r="R81" s="20"/>
      <c r="AR81" s="25"/>
      <c r="AS81" s="25"/>
      <c r="AT81" s="41"/>
      <c r="AU81" s="21"/>
    </row>
    <row r="82" spans="8:47" ht="16" customHeight="1">
      <c r="H82" s="20"/>
      <c r="I82" s="20"/>
      <c r="J82" s="20"/>
      <c r="K82" s="20"/>
      <c r="L82" s="20"/>
      <c r="M82" s="20"/>
      <c r="N82" s="20"/>
      <c r="O82" s="20"/>
      <c r="P82" s="20"/>
      <c r="Q82" s="20"/>
      <c r="R82" s="20"/>
      <c r="AR82" s="25"/>
      <c r="AS82" s="25"/>
      <c r="AT82" s="41"/>
      <c r="AU82" s="21"/>
    </row>
    <row r="83" spans="8:47" ht="16" customHeight="1">
      <c r="H83" s="20"/>
      <c r="I83" s="20"/>
      <c r="J83" s="20"/>
      <c r="K83" s="20"/>
      <c r="L83" s="20"/>
      <c r="M83" s="20"/>
      <c r="N83" s="20"/>
      <c r="O83" s="20"/>
      <c r="P83" s="20"/>
      <c r="Q83" s="20"/>
      <c r="R83" s="20"/>
      <c r="AR83" s="25"/>
      <c r="AS83" s="25"/>
      <c r="AT83" s="41"/>
      <c r="AU83" s="21"/>
    </row>
    <row r="84" spans="8:47" ht="16" customHeight="1">
      <c r="H84" s="20"/>
      <c r="I84" s="20"/>
      <c r="J84" s="20"/>
      <c r="K84" s="20"/>
      <c r="L84" s="20"/>
      <c r="M84" s="20"/>
      <c r="N84" s="20"/>
      <c r="O84" s="20"/>
      <c r="P84" s="20"/>
      <c r="Q84" s="20"/>
      <c r="R84" s="20"/>
      <c r="AR84" s="25"/>
      <c r="AS84" s="25"/>
      <c r="AT84" s="41"/>
      <c r="AU84" s="21"/>
    </row>
    <row r="85" spans="8:47" ht="16" customHeight="1">
      <c r="H85" s="20"/>
      <c r="I85" s="20"/>
      <c r="J85" s="20"/>
      <c r="K85" s="20"/>
      <c r="L85" s="20"/>
      <c r="M85" s="20"/>
      <c r="N85" s="20"/>
      <c r="O85" s="20"/>
      <c r="P85" s="20"/>
      <c r="Q85" s="20"/>
      <c r="R85" s="20"/>
      <c r="AR85" s="25"/>
      <c r="AS85" s="25"/>
      <c r="AT85" s="41"/>
      <c r="AU85" s="21"/>
    </row>
    <row r="86" spans="8:47" ht="16" customHeight="1">
      <c r="H86" s="20"/>
      <c r="I86" s="20"/>
      <c r="J86" s="20"/>
      <c r="K86" s="20"/>
      <c r="L86" s="20"/>
      <c r="M86" s="20"/>
      <c r="N86" s="20"/>
      <c r="O86" s="20"/>
      <c r="P86" s="20"/>
      <c r="Q86" s="20"/>
      <c r="R86" s="20"/>
      <c r="AR86" s="25"/>
      <c r="AS86" s="25"/>
      <c r="AT86" s="41"/>
      <c r="AU86" s="21"/>
    </row>
    <row r="87" spans="8:47" ht="16" customHeight="1">
      <c r="H87" s="20"/>
      <c r="I87" s="20"/>
      <c r="J87" s="20"/>
      <c r="K87" s="20"/>
      <c r="L87" s="20"/>
      <c r="M87" s="20"/>
      <c r="N87" s="20"/>
      <c r="O87" s="20"/>
      <c r="P87" s="20"/>
      <c r="Q87" s="20"/>
      <c r="R87" s="20"/>
      <c r="AR87" s="25"/>
      <c r="AS87" s="25"/>
      <c r="AT87" s="41"/>
      <c r="AU87" s="21"/>
    </row>
    <row r="88" spans="8:47" ht="16" customHeight="1">
      <c r="H88" s="20"/>
      <c r="I88" s="20"/>
      <c r="J88" s="20"/>
      <c r="K88" s="20"/>
      <c r="L88" s="20"/>
      <c r="M88" s="20"/>
      <c r="N88" s="20"/>
      <c r="O88" s="20"/>
      <c r="P88" s="20"/>
      <c r="Q88" s="20"/>
      <c r="R88" s="20"/>
      <c r="AR88" s="25"/>
      <c r="AS88" s="25"/>
      <c r="AT88" s="41"/>
      <c r="AU88" s="21"/>
    </row>
    <row r="89" spans="8:47" ht="16" customHeight="1">
      <c r="H89" s="20"/>
      <c r="I89" s="20"/>
      <c r="J89" s="20"/>
      <c r="K89" s="20"/>
      <c r="L89" s="20"/>
      <c r="M89" s="20"/>
      <c r="N89" s="20"/>
      <c r="O89" s="20"/>
      <c r="P89" s="20"/>
      <c r="Q89" s="20"/>
      <c r="R89" s="20"/>
      <c r="AR89" s="25"/>
      <c r="AS89" s="25"/>
      <c r="AT89" s="41"/>
      <c r="AU89" s="21"/>
    </row>
    <row r="90" spans="8:47" ht="16" customHeight="1">
      <c r="H90" s="20"/>
      <c r="I90" s="20"/>
      <c r="J90" s="20"/>
      <c r="K90" s="20"/>
      <c r="L90" s="20"/>
      <c r="M90" s="20"/>
      <c r="N90" s="20"/>
      <c r="O90" s="20"/>
      <c r="P90" s="20"/>
      <c r="Q90" s="20"/>
      <c r="R90" s="20"/>
      <c r="AR90" s="25"/>
      <c r="AS90" s="25"/>
      <c r="AT90" s="41"/>
      <c r="AU90" s="21"/>
    </row>
    <row r="91" spans="8:47" ht="16" customHeight="1">
      <c r="H91" s="20"/>
      <c r="I91" s="20"/>
      <c r="J91" s="20"/>
      <c r="K91" s="20"/>
      <c r="L91" s="20"/>
      <c r="M91" s="20"/>
      <c r="N91" s="20"/>
      <c r="O91" s="20"/>
      <c r="P91" s="20"/>
      <c r="Q91" s="20"/>
      <c r="R91" s="20"/>
      <c r="AR91" s="25"/>
      <c r="AS91" s="25"/>
      <c r="AT91" s="41"/>
      <c r="AU91" s="21"/>
    </row>
    <row r="92" spans="8:47" ht="16" customHeight="1">
      <c r="H92" s="20"/>
      <c r="I92" s="20"/>
      <c r="J92" s="20"/>
      <c r="K92" s="20"/>
      <c r="L92" s="20"/>
      <c r="M92" s="20"/>
      <c r="N92" s="20"/>
      <c r="O92" s="20"/>
      <c r="P92" s="20"/>
      <c r="Q92" s="20"/>
      <c r="R92" s="20"/>
      <c r="AR92" s="25"/>
      <c r="AS92" s="25"/>
      <c r="AT92" s="41"/>
      <c r="AU92" s="21"/>
    </row>
    <row r="93" spans="8:47" ht="16" customHeight="1">
      <c r="H93" s="20"/>
      <c r="I93" s="20"/>
      <c r="J93" s="20"/>
      <c r="K93" s="20"/>
      <c r="L93" s="20"/>
      <c r="M93" s="20"/>
      <c r="N93" s="20"/>
      <c r="O93" s="20"/>
      <c r="P93" s="20"/>
      <c r="Q93" s="20"/>
      <c r="R93" s="20"/>
      <c r="AR93" s="25"/>
      <c r="AS93" s="25"/>
      <c r="AT93" s="41"/>
      <c r="AU93" s="21"/>
    </row>
    <row r="94" spans="8:47" ht="16" customHeight="1">
      <c r="H94" s="20"/>
      <c r="I94" s="20"/>
      <c r="J94" s="20"/>
      <c r="K94" s="20"/>
      <c r="L94" s="20"/>
      <c r="M94" s="20"/>
      <c r="N94" s="20"/>
      <c r="O94" s="20"/>
      <c r="P94" s="20"/>
      <c r="Q94" s="20"/>
      <c r="R94" s="20"/>
      <c r="AR94" s="25"/>
      <c r="AS94" s="25"/>
      <c r="AT94" s="41"/>
      <c r="AU94" s="21"/>
    </row>
    <row r="95" spans="8:47" ht="16" customHeight="1">
      <c r="H95" s="20"/>
      <c r="I95" s="20"/>
      <c r="J95" s="20"/>
      <c r="K95" s="20"/>
      <c r="L95" s="20"/>
      <c r="M95" s="20"/>
      <c r="N95" s="20"/>
      <c r="O95" s="20"/>
      <c r="P95" s="20"/>
      <c r="Q95" s="20"/>
      <c r="R95" s="20"/>
      <c r="AR95" s="25"/>
      <c r="AS95" s="25"/>
      <c r="AT95" s="41"/>
      <c r="AU95" s="21"/>
    </row>
    <row r="96" spans="8:47" ht="16" customHeight="1">
      <c r="H96" s="20"/>
      <c r="I96" s="20"/>
      <c r="J96" s="20"/>
      <c r="K96" s="20"/>
      <c r="L96" s="20"/>
      <c r="M96" s="20"/>
      <c r="N96" s="20"/>
      <c r="O96" s="20"/>
      <c r="P96" s="20"/>
      <c r="Q96" s="20"/>
      <c r="R96" s="20"/>
      <c r="AR96" s="25"/>
      <c r="AS96" s="25"/>
      <c r="AT96" s="41"/>
      <c r="AU96" s="21"/>
    </row>
    <row r="97" spans="8:47" ht="16" customHeight="1">
      <c r="H97" s="20"/>
      <c r="I97" s="20"/>
      <c r="J97" s="20"/>
      <c r="K97" s="20"/>
      <c r="L97" s="20"/>
      <c r="M97" s="20"/>
      <c r="N97" s="20"/>
      <c r="O97" s="20"/>
      <c r="P97" s="20"/>
      <c r="Q97" s="20"/>
      <c r="R97" s="20"/>
      <c r="AR97" s="25"/>
      <c r="AS97" s="25"/>
      <c r="AT97" s="41"/>
      <c r="AU97" s="21"/>
    </row>
    <row r="98" spans="8:47" ht="16" customHeight="1">
      <c r="H98" s="20"/>
      <c r="I98" s="20"/>
      <c r="J98" s="20"/>
      <c r="K98" s="20"/>
      <c r="L98" s="20"/>
      <c r="M98" s="20"/>
      <c r="N98" s="20"/>
      <c r="O98" s="20"/>
      <c r="P98" s="20"/>
      <c r="Q98" s="20"/>
      <c r="R98" s="20"/>
      <c r="AR98" s="25"/>
      <c r="AS98" s="25"/>
      <c r="AT98" s="41"/>
      <c r="AU98" s="21"/>
    </row>
    <row r="99" spans="8:47" ht="16" customHeight="1">
      <c r="H99" s="20"/>
      <c r="I99" s="20"/>
      <c r="J99" s="20"/>
      <c r="K99" s="20"/>
      <c r="L99" s="20"/>
      <c r="M99" s="20"/>
      <c r="N99" s="20"/>
      <c r="O99" s="20"/>
      <c r="P99" s="20"/>
      <c r="Q99" s="20"/>
      <c r="R99" s="20"/>
      <c r="AR99" s="25"/>
      <c r="AS99" s="25"/>
      <c r="AT99" s="41"/>
      <c r="AU99" s="21"/>
    </row>
    <row r="100" spans="8:47" ht="16" customHeight="1">
      <c r="H100" s="20"/>
      <c r="I100" s="20"/>
      <c r="J100" s="20"/>
      <c r="K100" s="20"/>
      <c r="L100" s="20"/>
      <c r="M100" s="20"/>
      <c r="N100" s="20"/>
      <c r="O100" s="20"/>
      <c r="P100" s="20"/>
      <c r="Q100" s="20"/>
      <c r="R100" s="20"/>
      <c r="AR100" s="25"/>
      <c r="AS100" s="25"/>
      <c r="AT100" s="41"/>
      <c r="AU100" s="21"/>
    </row>
    <row r="101" spans="8:47" ht="16" customHeight="1">
      <c r="H101" s="20"/>
      <c r="I101" s="20"/>
      <c r="J101" s="20"/>
      <c r="K101" s="20"/>
      <c r="L101" s="20"/>
      <c r="M101" s="20"/>
      <c r="N101" s="20"/>
      <c r="O101" s="20"/>
      <c r="P101" s="20"/>
      <c r="Q101" s="20"/>
      <c r="R101" s="20"/>
      <c r="AR101" s="25"/>
      <c r="AS101" s="25"/>
      <c r="AT101" s="41"/>
      <c r="AU101" s="21"/>
    </row>
    <row r="102" spans="8:47" ht="16" customHeight="1">
      <c r="H102" s="20"/>
      <c r="I102" s="20"/>
      <c r="J102" s="20"/>
      <c r="K102" s="20"/>
      <c r="L102" s="20"/>
      <c r="M102" s="20"/>
      <c r="N102" s="20"/>
      <c r="O102" s="20"/>
      <c r="P102" s="20"/>
      <c r="Q102" s="20"/>
      <c r="R102" s="20"/>
      <c r="AR102" s="25"/>
      <c r="AS102" s="25"/>
      <c r="AT102" s="41"/>
      <c r="AU102" s="21"/>
    </row>
    <row r="103" spans="8:47" ht="16" customHeight="1">
      <c r="H103" s="20"/>
      <c r="I103" s="20"/>
      <c r="J103" s="20"/>
      <c r="K103" s="20"/>
      <c r="L103" s="20"/>
      <c r="M103" s="20"/>
      <c r="N103" s="20"/>
      <c r="O103" s="20"/>
      <c r="P103" s="20"/>
      <c r="Q103" s="20"/>
      <c r="R103" s="20"/>
      <c r="AR103" s="25"/>
      <c r="AS103" s="25"/>
      <c r="AT103" s="41"/>
      <c r="AU103" s="21"/>
    </row>
    <row r="104" spans="8:47" ht="16" customHeight="1">
      <c r="H104" s="20"/>
      <c r="I104" s="20"/>
      <c r="J104" s="20"/>
      <c r="K104" s="20"/>
      <c r="L104" s="20"/>
      <c r="M104" s="20"/>
      <c r="N104" s="20"/>
      <c r="O104" s="20"/>
      <c r="P104" s="20"/>
      <c r="Q104" s="20"/>
      <c r="R104" s="20"/>
      <c r="AR104" s="25"/>
      <c r="AS104" s="25"/>
      <c r="AT104" s="41"/>
      <c r="AU104" s="21"/>
    </row>
    <row r="105" spans="8:47" ht="16" customHeight="1">
      <c r="H105" s="20"/>
      <c r="I105" s="20"/>
      <c r="J105" s="20"/>
      <c r="K105" s="20"/>
      <c r="L105" s="20"/>
      <c r="M105" s="20"/>
      <c r="N105" s="20"/>
      <c r="O105" s="20"/>
      <c r="P105" s="20"/>
      <c r="Q105" s="20"/>
      <c r="R105" s="20"/>
      <c r="AR105" s="25"/>
      <c r="AS105" s="25"/>
      <c r="AT105" s="41"/>
      <c r="AU105" s="21"/>
    </row>
    <row r="106" spans="8:47" ht="16" customHeight="1">
      <c r="H106" s="20"/>
      <c r="I106" s="20"/>
      <c r="J106" s="20"/>
      <c r="K106" s="20"/>
      <c r="L106" s="20"/>
      <c r="M106" s="20"/>
      <c r="N106" s="20"/>
      <c r="O106" s="20"/>
      <c r="P106" s="20"/>
      <c r="Q106" s="20"/>
      <c r="R106" s="20"/>
      <c r="AR106" s="25"/>
      <c r="AS106" s="25"/>
      <c r="AT106" s="41"/>
      <c r="AU106" s="21"/>
    </row>
    <row r="107" spans="8:47" ht="16" customHeight="1">
      <c r="H107" s="20"/>
      <c r="I107" s="20"/>
      <c r="J107" s="20"/>
      <c r="K107" s="20"/>
      <c r="L107" s="20"/>
      <c r="M107" s="20"/>
      <c r="N107" s="20"/>
      <c r="O107" s="20"/>
      <c r="P107" s="20"/>
      <c r="Q107" s="20"/>
      <c r="R107" s="20"/>
      <c r="AR107" s="25"/>
      <c r="AS107" s="25"/>
      <c r="AT107" s="41"/>
      <c r="AU107" s="21"/>
    </row>
    <row r="108" spans="8:47" ht="16" customHeight="1">
      <c r="H108" s="20"/>
      <c r="I108" s="20"/>
      <c r="J108" s="20"/>
      <c r="K108" s="20"/>
      <c r="L108" s="20"/>
      <c r="M108" s="20"/>
      <c r="N108" s="20"/>
      <c r="O108" s="20"/>
      <c r="P108" s="20"/>
      <c r="Q108" s="20"/>
      <c r="R108" s="20"/>
      <c r="AR108" s="25"/>
      <c r="AS108" s="25"/>
      <c r="AT108" s="41"/>
      <c r="AU108" s="21"/>
    </row>
    <row r="109" spans="8:47" ht="16" customHeight="1">
      <c r="H109" s="20"/>
      <c r="I109" s="20"/>
      <c r="J109" s="20"/>
      <c r="K109" s="20"/>
      <c r="L109" s="20"/>
      <c r="M109" s="20"/>
      <c r="N109" s="20"/>
      <c r="O109" s="20"/>
      <c r="P109" s="20"/>
      <c r="Q109" s="20"/>
      <c r="R109" s="20"/>
      <c r="AR109" s="25"/>
      <c r="AS109" s="25"/>
      <c r="AT109" s="41"/>
      <c r="AU109" s="21"/>
    </row>
    <row r="110" spans="8:47" ht="16" customHeight="1">
      <c r="H110" s="20"/>
      <c r="I110" s="20"/>
      <c r="J110" s="20"/>
      <c r="K110" s="20"/>
      <c r="L110" s="20"/>
      <c r="M110" s="20"/>
      <c r="N110" s="20"/>
      <c r="O110" s="20"/>
      <c r="P110" s="20"/>
      <c r="Q110" s="20"/>
      <c r="R110" s="20"/>
      <c r="AR110" s="25"/>
      <c r="AS110" s="25"/>
      <c r="AT110" s="41"/>
      <c r="AU110" s="21"/>
    </row>
    <row r="111" spans="8:47" ht="16" customHeight="1">
      <c r="H111" s="20"/>
      <c r="I111" s="20"/>
      <c r="J111" s="20"/>
      <c r="K111" s="20"/>
      <c r="L111" s="20"/>
      <c r="M111" s="20"/>
      <c r="N111" s="20"/>
      <c r="O111" s="20"/>
      <c r="P111" s="20"/>
      <c r="Q111" s="20"/>
      <c r="R111" s="20"/>
      <c r="AR111" s="25"/>
      <c r="AS111" s="25"/>
      <c r="AT111" s="41"/>
      <c r="AU111" s="21"/>
    </row>
    <row r="112" spans="8:47" ht="16" customHeight="1">
      <c r="H112" s="20"/>
      <c r="I112" s="20"/>
      <c r="J112" s="20"/>
      <c r="K112" s="20"/>
      <c r="L112" s="20"/>
      <c r="M112" s="20"/>
      <c r="N112" s="20"/>
      <c r="O112" s="20"/>
      <c r="P112" s="20"/>
      <c r="Q112" s="20"/>
      <c r="R112" s="20"/>
      <c r="AR112" s="25"/>
      <c r="AS112" s="25"/>
      <c r="AT112" s="41"/>
      <c r="AU112" s="21"/>
    </row>
    <row r="113" spans="8:47" ht="16" customHeight="1">
      <c r="H113" s="20"/>
      <c r="I113" s="20"/>
      <c r="J113" s="20"/>
      <c r="K113" s="20"/>
      <c r="L113" s="20"/>
      <c r="M113" s="20"/>
      <c r="N113" s="20"/>
      <c r="O113" s="20"/>
      <c r="P113" s="20"/>
      <c r="Q113" s="20"/>
      <c r="R113" s="20"/>
      <c r="AR113" s="25"/>
      <c r="AS113" s="25"/>
      <c r="AT113" s="41"/>
      <c r="AU113" s="21"/>
    </row>
    <row r="114" spans="8:47" ht="16" customHeight="1">
      <c r="H114" s="20"/>
      <c r="I114" s="20"/>
      <c r="J114" s="20"/>
      <c r="K114" s="20"/>
      <c r="L114" s="20"/>
      <c r="M114" s="20"/>
      <c r="N114" s="20"/>
      <c r="O114" s="20"/>
      <c r="P114" s="20"/>
      <c r="Q114" s="20"/>
      <c r="R114" s="20"/>
      <c r="AR114" s="25"/>
      <c r="AS114" s="25"/>
      <c r="AT114" s="41"/>
      <c r="AU114" s="21"/>
    </row>
    <row r="115" spans="8:47" ht="16" customHeight="1">
      <c r="H115" s="20"/>
      <c r="I115" s="20"/>
      <c r="J115" s="20"/>
      <c r="K115" s="20"/>
      <c r="L115" s="20"/>
      <c r="M115" s="20"/>
      <c r="N115" s="20"/>
      <c r="O115" s="20"/>
      <c r="P115" s="20"/>
      <c r="Q115" s="20"/>
      <c r="R115" s="20"/>
      <c r="AR115" s="25"/>
      <c r="AS115" s="25"/>
      <c r="AT115" s="41"/>
      <c r="AU115" s="21"/>
    </row>
    <row r="116" spans="8:47" ht="16" customHeight="1">
      <c r="H116" s="20"/>
      <c r="I116" s="20"/>
      <c r="J116" s="20"/>
      <c r="K116" s="20"/>
      <c r="L116" s="20"/>
      <c r="M116" s="20"/>
      <c r="N116" s="20"/>
      <c r="O116" s="20"/>
      <c r="P116" s="20"/>
      <c r="Q116" s="20"/>
      <c r="R116" s="20"/>
      <c r="AR116" s="25"/>
      <c r="AS116" s="25"/>
      <c r="AT116" s="41"/>
      <c r="AU116" s="21"/>
    </row>
    <row r="117" spans="8:47" ht="16" customHeight="1">
      <c r="H117" s="20"/>
      <c r="I117" s="20"/>
      <c r="J117" s="20"/>
      <c r="K117" s="20"/>
      <c r="L117" s="20"/>
      <c r="M117" s="20"/>
      <c r="N117" s="20"/>
      <c r="O117" s="20"/>
      <c r="P117" s="20"/>
      <c r="Q117" s="20"/>
      <c r="R117" s="20"/>
      <c r="AR117" s="25"/>
      <c r="AS117" s="25"/>
      <c r="AT117" s="41"/>
      <c r="AU117" s="21"/>
    </row>
    <row r="118" spans="8:47" ht="16" customHeight="1">
      <c r="H118" s="20"/>
      <c r="I118" s="20"/>
      <c r="J118" s="20"/>
      <c r="K118" s="20"/>
      <c r="L118" s="20"/>
      <c r="M118" s="20"/>
      <c r="N118" s="20"/>
      <c r="O118" s="20"/>
      <c r="P118" s="20"/>
      <c r="Q118" s="20"/>
      <c r="R118" s="20"/>
      <c r="AR118" s="25"/>
      <c r="AS118" s="25"/>
      <c r="AT118" s="41"/>
      <c r="AU118" s="21"/>
    </row>
    <row r="119" spans="8:47" ht="16" customHeight="1">
      <c r="H119" s="20"/>
      <c r="I119" s="20"/>
      <c r="J119" s="20"/>
      <c r="K119" s="20"/>
      <c r="L119" s="20"/>
      <c r="M119" s="20"/>
      <c r="N119" s="20"/>
      <c r="O119" s="20"/>
      <c r="P119" s="20"/>
      <c r="Q119" s="20"/>
      <c r="R119" s="20"/>
      <c r="AR119" s="25"/>
      <c r="AS119" s="25"/>
      <c r="AT119" s="41"/>
      <c r="AU119" s="21"/>
    </row>
    <row r="120" spans="8:47" ht="16" customHeight="1">
      <c r="H120" s="20"/>
      <c r="I120" s="20"/>
      <c r="J120" s="20"/>
      <c r="K120" s="20"/>
      <c r="L120" s="20"/>
      <c r="M120" s="20"/>
      <c r="N120" s="20"/>
      <c r="O120" s="20"/>
      <c r="P120" s="20"/>
      <c r="Q120" s="20"/>
      <c r="R120" s="20"/>
      <c r="AR120" s="25"/>
      <c r="AS120" s="25"/>
      <c r="AT120" s="41"/>
      <c r="AU120" s="21"/>
    </row>
    <row r="121" spans="8:47" ht="16" customHeight="1">
      <c r="H121" s="20"/>
      <c r="I121" s="20"/>
      <c r="J121" s="20"/>
      <c r="K121" s="20"/>
      <c r="L121" s="20"/>
      <c r="M121" s="20"/>
      <c r="N121" s="20"/>
      <c r="O121" s="20"/>
      <c r="P121" s="20"/>
      <c r="Q121" s="20"/>
      <c r="R121" s="20"/>
      <c r="AR121" s="25"/>
      <c r="AS121" s="25"/>
      <c r="AT121" s="41"/>
      <c r="AU121" s="21"/>
    </row>
    <row r="122" spans="8:47" ht="16" customHeight="1">
      <c r="H122" s="20"/>
      <c r="I122" s="20"/>
      <c r="J122" s="20"/>
      <c r="K122" s="20"/>
      <c r="L122" s="20"/>
      <c r="M122" s="20"/>
      <c r="N122" s="20"/>
      <c r="O122" s="20"/>
      <c r="P122" s="20"/>
      <c r="Q122" s="20"/>
      <c r="R122" s="20"/>
      <c r="AR122" s="25"/>
      <c r="AS122" s="25"/>
      <c r="AT122" s="41"/>
      <c r="AU122" s="21"/>
    </row>
    <row r="123" spans="8:47" ht="16" customHeight="1">
      <c r="H123" s="20"/>
      <c r="I123" s="20"/>
      <c r="J123" s="20"/>
      <c r="K123" s="20"/>
      <c r="L123" s="20"/>
      <c r="M123" s="20"/>
      <c r="N123" s="20"/>
      <c r="O123" s="20"/>
      <c r="P123" s="20"/>
      <c r="Q123" s="20"/>
      <c r="R123" s="20"/>
      <c r="AR123" s="25"/>
      <c r="AS123" s="25"/>
      <c r="AT123" s="41"/>
      <c r="AU123" s="21"/>
    </row>
    <row r="124" spans="8:47" ht="16" customHeight="1">
      <c r="H124" s="20"/>
      <c r="I124" s="20"/>
      <c r="J124" s="20"/>
      <c r="K124" s="20"/>
      <c r="L124" s="20"/>
      <c r="M124" s="20"/>
      <c r="N124" s="20"/>
      <c r="O124" s="20"/>
      <c r="P124" s="20"/>
      <c r="Q124" s="20"/>
      <c r="R124" s="20"/>
      <c r="AR124" s="25"/>
      <c r="AS124" s="25"/>
      <c r="AT124" s="41"/>
      <c r="AU124" s="21"/>
    </row>
    <row r="125" spans="8:47" ht="16" customHeight="1">
      <c r="H125" s="20"/>
      <c r="I125" s="20"/>
      <c r="J125" s="20"/>
      <c r="K125" s="20"/>
      <c r="L125" s="20"/>
      <c r="M125" s="20"/>
      <c r="N125" s="20"/>
      <c r="O125" s="20"/>
      <c r="P125" s="20"/>
      <c r="Q125" s="20"/>
      <c r="R125" s="20"/>
      <c r="AR125" s="25"/>
      <c r="AS125" s="25"/>
      <c r="AT125" s="41"/>
      <c r="AU125" s="21"/>
    </row>
    <row r="126" spans="8:47" ht="16" customHeight="1">
      <c r="H126" s="20"/>
      <c r="I126" s="20"/>
      <c r="J126" s="20"/>
      <c r="K126" s="20"/>
      <c r="L126" s="20"/>
      <c r="M126" s="20"/>
      <c r="N126" s="20"/>
      <c r="O126" s="20"/>
      <c r="P126" s="20"/>
      <c r="Q126" s="20"/>
      <c r="R126" s="20"/>
      <c r="AR126" s="25"/>
      <c r="AS126" s="25"/>
      <c r="AT126" s="41"/>
      <c r="AU126" s="21"/>
    </row>
    <row r="127" spans="8:47" ht="16" customHeight="1">
      <c r="H127" s="20"/>
      <c r="I127" s="20"/>
      <c r="J127" s="20"/>
      <c r="K127" s="20"/>
      <c r="L127" s="20"/>
      <c r="M127" s="20"/>
      <c r="N127" s="20"/>
      <c r="O127" s="20"/>
      <c r="P127" s="20"/>
      <c r="Q127" s="20"/>
      <c r="R127" s="20"/>
      <c r="AR127" s="25"/>
      <c r="AS127" s="25"/>
      <c r="AT127" s="41"/>
      <c r="AU127" s="21"/>
    </row>
    <row r="128" spans="8:47" ht="16" customHeight="1">
      <c r="H128" s="20"/>
      <c r="I128" s="20"/>
      <c r="J128" s="20"/>
      <c r="K128" s="20"/>
      <c r="L128" s="20"/>
      <c r="M128" s="20"/>
      <c r="N128" s="20"/>
      <c r="O128" s="20"/>
      <c r="P128" s="20"/>
      <c r="Q128" s="20"/>
      <c r="R128" s="20"/>
      <c r="AR128" s="25"/>
      <c r="AS128" s="25"/>
      <c r="AT128" s="41"/>
      <c r="AU128" s="21"/>
    </row>
    <row r="129" spans="8:47" ht="16" customHeight="1">
      <c r="H129" s="20"/>
      <c r="I129" s="20"/>
      <c r="J129" s="20"/>
      <c r="K129" s="20"/>
      <c r="L129" s="20"/>
      <c r="M129" s="20"/>
      <c r="N129" s="20"/>
      <c r="O129" s="20"/>
      <c r="P129" s="20"/>
      <c r="Q129" s="20"/>
      <c r="R129" s="20"/>
      <c r="AR129" s="25"/>
      <c r="AS129" s="25"/>
      <c r="AT129" s="41"/>
      <c r="AU129" s="21"/>
    </row>
    <row r="130" spans="8:47" ht="16" customHeight="1">
      <c r="H130" s="20"/>
      <c r="I130" s="20"/>
      <c r="J130" s="20"/>
      <c r="K130" s="20"/>
      <c r="L130" s="20"/>
      <c r="M130" s="20"/>
      <c r="N130" s="20"/>
      <c r="O130" s="20"/>
      <c r="P130" s="20"/>
      <c r="Q130" s="20"/>
      <c r="R130" s="20"/>
      <c r="AR130" s="25"/>
      <c r="AS130" s="25"/>
      <c r="AT130" s="41"/>
      <c r="AU130" s="21"/>
    </row>
    <row r="131" spans="8:47" ht="16" customHeight="1">
      <c r="H131" s="20"/>
      <c r="I131" s="20"/>
      <c r="J131" s="20"/>
      <c r="K131" s="20"/>
      <c r="L131" s="20"/>
      <c r="M131" s="20"/>
      <c r="N131" s="20"/>
      <c r="O131" s="20"/>
      <c r="P131" s="20"/>
      <c r="Q131" s="20"/>
      <c r="R131" s="20"/>
      <c r="AR131" s="25"/>
      <c r="AS131" s="25"/>
      <c r="AT131" s="41"/>
      <c r="AU131" s="21"/>
    </row>
    <row r="132" spans="8:47" ht="16" customHeight="1">
      <c r="H132" s="20"/>
      <c r="I132" s="20"/>
      <c r="J132" s="20"/>
      <c r="K132" s="20"/>
      <c r="L132" s="20"/>
      <c r="M132" s="20"/>
      <c r="N132" s="20"/>
      <c r="O132" s="20"/>
      <c r="P132" s="20"/>
      <c r="Q132" s="20"/>
      <c r="R132" s="20"/>
      <c r="AR132" s="25"/>
      <c r="AS132" s="25"/>
      <c r="AT132" s="41"/>
      <c r="AU132" s="21"/>
    </row>
    <row r="133" spans="8:47" ht="16" customHeight="1">
      <c r="H133" s="20"/>
      <c r="I133" s="20"/>
      <c r="J133" s="20"/>
      <c r="K133" s="20"/>
      <c r="L133" s="20"/>
      <c r="M133" s="20"/>
      <c r="N133" s="20"/>
      <c r="O133" s="20"/>
      <c r="P133" s="20"/>
      <c r="Q133" s="20"/>
      <c r="R133" s="20"/>
      <c r="AR133" s="25"/>
      <c r="AS133" s="25"/>
      <c r="AT133" s="41"/>
      <c r="AU133" s="21"/>
    </row>
    <row r="134" spans="8:47" ht="16" customHeight="1">
      <c r="H134" s="20"/>
      <c r="I134" s="20"/>
      <c r="J134" s="20"/>
      <c r="K134" s="20"/>
      <c r="L134" s="20"/>
      <c r="M134" s="20"/>
      <c r="N134" s="20"/>
      <c r="O134" s="20"/>
      <c r="P134" s="20"/>
      <c r="Q134" s="20"/>
      <c r="R134" s="20"/>
      <c r="AR134" s="25"/>
      <c r="AS134" s="25"/>
      <c r="AT134" s="41"/>
      <c r="AU134" s="21"/>
    </row>
    <row r="135" spans="8:47" ht="16" customHeight="1">
      <c r="H135" s="20"/>
      <c r="I135" s="20"/>
      <c r="J135" s="20"/>
      <c r="K135" s="20"/>
      <c r="L135" s="20"/>
      <c r="M135" s="20"/>
      <c r="N135" s="20"/>
      <c r="O135" s="20"/>
      <c r="P135" s="20"/>
      <c r="Q135" s="20"/>
      <c r="R135" s="20"/>
      <c r="AR135" s="25"/>
      <c r="AS135" s="25"/>
      <c r="AT135" s="41"/>
      <c r="AU135" s="21"/>
    </row>
    <row r="136" spans="8:47" ht="16" customHeight="1">
      <c r="H136" s="20"/>
      <c r="I136" s="20"/>
      <c r="J136" s="20"/>
      <c r="K136" s="20"/>
      <c r="L136" s="20"/>
      <c r="M136" s="20"/>
      <c r="N136" s="20"/>
      <c r="O136" s="20"/>
      <c r="P136" s="20"/>
      <c r="Q136" s="20"/>
      <c r="R136" s="20"/>
      <c r="AR136" s="25"/>
      <c r="AS136" s="25"/>
      <c r="AT136" s="41"/>
      <c r="AU136" s="21"/>
    </row>
    <row r="137" spans="8:47" ht="16" customHeight="1">
      <c r="H137" s="20"/>
      <c r="I137" s="20"/>
      <c r="J137" s="20"/>
      <c r="K137" s="20"/>
      <c r="L137" s="20"/>
      <c r="M137" s="20"/>
      <c r="N137" s="20"/>
      <c r="O137" s="20"/>
      <c r="P137" s="20"/>
      <c r="Q137" s="20"/>
      <c r="R137" s="20"/>
      <c r="AR137" s="25"/>
      <c r="AS137" s="25"/>
      <c r="AT137" s="41"/>
      <c r="AU137" s="21"/>
    </row>
    <row r="138" spans="8:47" ht="16" customHeight="1">
      <c r="H138" s="20"/>
      <c r="I138" s="20"/>
      <c r="J138" s="20"/>
      <c r="K138" s="20"/>
      <c r="L138" s="20"/>
      <c r="M138" s="20"/>
      <c r="N138" s="20"/>
      <c r="O138" s="20"/>
      <c r="P138" s="20"/>
      <c r="Q138" s="20"/>
      <c r="R138" s="20"/>
      <c r="AR138" s="25"/>
      <c r="AS138" s="25"/>
      <c r="AT138" s="41"/>
      <c r="AU138" s="21"/>
    </row>
    <row r="139" spans="8:47" ht="16" customHeight="1">
      <c r="H139" s="20"/>
      <c r="I139" s="20"/>
      <c r="J139" s="20"/>
      <c r="K139" s="20"/>
      <c r="L139" s="20"/>
      <c r="M139" s="20"/>
      <c r="N139" s="20"/>
      <c r="O139" s="20"/>
      <c r="P139" s="20"/>
      <c r="Q139" s="20"/>
      <c r="R139" s="20"/>
      <c r="AR139" s="25"/>
      <c r="AS139" s="25"/>
      <c r="AT139" s="41"/>
      <c r="AU139" s="21"/>
    </row>
    <row r="140" spans="8:47" ht="16" customHeight="1">
      <c r="H140" s="20"/>
      <c r="I140" s="20"/>
      <c r="J140" s="20"/>
      <c r="K140" s="20"/>
      <c r="L140" s="20"/>
      <c r="M140" s="20"/>
      <c r="N140" s="20"/>
      <c r="O140" s="20"/>
      <c r="P140" s="20"/>
      <c r="Q140" s="20"/>
      <c r="R140" s="20"/>
      <c r="AR140" s="25"/>
      <c r="AS140" s="25"/>
      <c r="AT140" s="41"/>
      <c r="AU140" s="21"/>
    </row>
    <row r="141" spans="8:47" ht="16" customHeight="1">
      <c r="H141" s="20"/>
      <c r="I141" s="20"/>
      <c r="J141" s="20"/>
      <c r="K141" s="20"/>
      <c r="L141" s="20"/>
      <c r="M141" s="20"/>
      <c r="N141" s="20"/>
      <c r="O141" s="20"/>
      <c r="P141" s="20"/>
      <c r="Q141" s="20"/>
      <c r="R141" s="20"/>
      <c r="AR141" s="25"/>
      <c r="AS141" s="25"/>
      <c r="AT141" s="41"/>
      <c r="AU141" s="21"/>
    </row>
    <row r="142" spans="8:47" ht="16" customHeight="1">
      <c r="H142" s="20"/>
      <c r="I142" s="20"/>
      <c r="J142" s="20"/>
      <c r="K142" s="20"/>
      <c r="L142" s="20"/>
      <c r="M142" s="20"/>
      <c r="N142" s="20"/>
      <c r="O142" s="20"/>
      <c r="P142" s="20"/>
      <c r="Q142" s="20"/>
      <c r="R142" s="20"/>
      <c r="AR142" s="25"/>
      <c r="AS142" s="25"/>
      <c r="AT142" s="41"/>
      <c r="AU142" s="21"/>
    </row>
    <row r="143" spans="8:47" ht="16" customHeight="1">
      <c r="H143" s="20"/>
      <c r="I143" s="20"/>
      <c r="J143" s="20"/>
      <c r="K143" s="20"/>
      <c r="L143" s="20"/>
      <c r="M143" s="20"/>
      <c r="N143" s="20"/>
      <c r="O143" s="20"/>
      <c r="P143" s="20"/>
      <c r="Q143" s="20"/>
      <c r="R143" s="20"/>
      <c r="AR143" s="25"/>
      <c r="AS143" s="25"/>
      <c r="AT143" s="41"/>
      <c r="AU143" s="21"/>
    </row>
    <row r="144" spans="8:47" ht="16" customHeight="1">
      <c r="H144" s="20"/>
      <c r="I144" s="20"/>
      <c r="J144" s="20"/>
      <c r="K144" s="20"/>
      <c r="L144" s="20"/>
      <c r="M144" s="20"/>
      <c r="N144" s="20"/>
      <c r="O144" s="20"/>
      <c r="P144" s="20"/>
      <c r="Q144" s="20"/>
      <c r="R144" s="20"/>
      <c r="AR144" s="25"/>
      <c r="AS144" s="25"/>
      <c r="AT144" s="41"/>
      <c r="AU144" s="21"/>
    </row>
    <row r="145" spans="8:47" ht="16" customHeight="1">
      <c r="H145" s="20"/>
      <c r="I145" s="20"/>
      <c r="J145" s="20"/>
      <c r="K145" s="20"/>
      <c r="L145" s="20"/>
      <c r="M145" s="20"/>
      <c r="N145" s="20"/>
      <c r="O145" s="20"/>
      <c r="P145" s="20"/>
      <c r="Q145" s="20"/>
      <c r="R145" s="20"/>
      <c r="AR145" s="25"/>
      <c r="AS145" s="25"/>
      <c r="AT145" s="41"/>
      <c r="AU145" s="21"/>
    </row>
    <row r="146" spans="8:47" ht="16" customHeight="1">
      <c r="H146" s="20"/>
      <c r="I146" s="20"/>
      <c r="J146" s="20"/>
      <c r="K146" s="20"/>
      <c r="L146" s="20"/>
      <c r="M146" s="20"/>
      <c r="N146" s="20"/>
      <c r="O146" s="20"/>
      <c r="P146" s="20"/>
      <c r="Q146" s="20"/>
      <c r="R146" s="20"/>
      <c r="AR146" s="25"/>
      <c r="AS146" s="25"/>
      <c r="AT146" s="41"/>
      <c r="AU146" s="21"/>
    </row>
    <row r="147" spans="8:47" ht="16" customHeight="1">
      <c r="H147" s="20"/>
      <c r="I147" s="20"/>
      <c r="J147" s="20"/>
      <c r="K147" s="20"/>
      <c r="L147" s="20"/>
      <c r="M147" s="20"/>
      <c r="N147" s="20"/>
      <c r="O147" s="20"/>
      <c r="P147" s="20"/>
      <c r="Q147" s="20"/>
      <c r="R147" s="20"/>
      <c r="AR147" s="25"/>
      <c r="AS147" s="25"/>
      <c r="AT147" s="41"/>
      <c r="AU147" s="21"/>
    </row>
    <row r="148" spans="8:47" ht="16" customHeight="1">
      <c r="H148" s="20"/>
      <c r="I148" s="20"/>
      <c r="J148" s="20"/>
      <c r="K148" s="20"/>
      <c r="L148" s="20"/>
      <c r="M148" s="20"/>
      <c r="N148" s="20"/>
      <c r="O148" s="20"/>
      <c r="P148" s="20"/>
      <c r="Q148" s="20"/>
      <c r="R148" s="20"/>
      <c r="AR148" s="25"/>
      <c r="AS148" s="25"/>
      <c r="AT148" s="41"/>
      <c r="AU148" s="21"/>
    </row>
    <row r="149" spans="8:47" ht="16" customHeight="1">
      <c r="H149" s="20"/>
      <c r="I149" s="20"/>
      <c r="J149" s="20"/>
      <c r="K149" s="20"/>
      <c r="L149" s="20"/>
      <c r="M149" s="20"/>
      <c r="N149" s="20"/>
      <c r="O149" s="20"/>
      <c r="P149" s="20"/>
      <c r="Q149" s="20"/>
      <c r="R149" s="20"/>
      <c r="AR149" s="25"/>
      <c r="AS149" s="25"/>
      <c r="AT149" s="41"/>
      <c r="AU149" s="21"/>
    </row>
    <row r="150" spans="8:47" ht="16" customHeight="1">
      <c r="H150" s="20"/>
      <c r="I150" s="20"/>
      <c r="J150" s="20"/>
      <c r="K150" s="20"/>
      <c r="L150" s="20"/>
      <c r="M150" s="20"/>
      <c r="N150" s="20"/>
      <c r="O150" s="20"/>
      <c r="P150" s="20"/>
      <c r="Q150" s="20"/>
      <c r="R150" s="20"/>
      <c r="AR150" s="25"/>
      <c r="AS150" s="25"/>
      <c r="AT150" s="41"/>
      <c r="AU150" s="21"/>
    </row>
    <row r="151" spans="8:47" ht="16" customHeight="1">
      <c r="H151" s="20"/>
      <c r="I151" s="20"/>
      <c r="J151" s="20"/>
      <c r="K151" s="20"/>
      <c r="L151" s="20"/>
      <c r="M151" s="20"/>
      <c r="N151" s="20"/>
      <c r="O151" s="20"/>
      <c r="P151" s="20"/>
      <c r="Q151" s="20"/>
      <c r="R151" s="20"/>
      <c r="AR151" s="25"/>
      <c r="AS151" s="25"/>
      <c r="AT151" s="41"/>
      <c r="AU151" s="21"/>
    </row>
    <row r="152" spans="8:47" ht="16" customHeight="1">
      <c r="H152" s="20"/>
      <c r="I152" s="20"/>
      <c r="J152" s="20"/>
      <c r="K152" s="20"/>
      <c r="L152" s="20"/>
      <c r="M152" s="20"/>
      <c r="N152" s="20"/>
      <c r="O152" s="20"/>
      <c r="P152" s="20"/>
      <c r="Q152" s="20"/>
      <c r="R152" s="20"/>
      <c r="AR152" s="25"/>
      <c r="AS152" s="25"/>
      <c r="AT152" s="41"/>
      <c r="AU152" s="21"/>
    </row>
    <row r="153" spans="8:47" ht="16" customHeight="1">
      <c r="H153" s="20"/>
      <c r="I153" s="20"/>
      <c r="J153" s="20"/>
      <c r="K153" s="20"/>
      <c r="L153" s="20"/>
      <c r="M153" s="20"/>
      <c r="N153" s="20"/>
      <c r="O153" s="20"/>
      <c r="P153" s="20"/>
      <c r="Q153" s="20"/>
      <c r="R153" s="20"/>
      <c r="AR153" s="25"/>
      <c r="AS153" s="25"/>
      <c r="AT153" s="41"/>
      <c r="AU153" s="21"/>
    </row>
    <row r="154" spans="8:47" ht="16" customHeight="1">
      <c r="H154" s="20"/>
      <c r="I154" s="20"/>
      <c r="J154" s="20"/>
      <c r="K154" s="20"/>
      <c r="L154" s="20"/>
      <c r="M154" s="20"/>
      <c r="N154" s="20"/>
      <c r="O154" s="20"/>
      <c r="P154" s="20"/>
      <c r="Q154" s="20"/>
      <c r="R154" s="20"/>
      <c r="AR154" s="25"/>
      <c r="AS154" s="25"/>
      <c r="AT154" s="41"/>
      <c r="AU154" s="21"/>
    </row>
    <row r="155" spans="8:47" ht="16" customHeight="1">
      <c r="H155" s="20"/>
      <c r="I155" s="20"/>
      <c r="J155" s="20"/>
      <c r="K155" s="20"/>
      <c r="L155" s="20"/>
      <c r="M155" s="20"/>
      <c r="N155" s="20"/>
      <c r="O155" s="20"/>
      <c r="P155" s="20"/>
      <c r="Q155" s="20"/>
      <c r="R155" s="20"/>
      <c r="AR155" s="25"/>
      <c r="AS155" s="25"/>
      <c r="AT155" s="41"/>
      <c r="AU155" s="21"/>
    </row>
    <row r="156" spans="8:47" ht="16" customHeight="1">
      <c r="H156" s="20"/>
      <c r="I156" s="20"/>
      <c r="J156" s="20"/>
      <c r="K156" s="20"/>
      <c r="L156" s="20"/>
      <c r="M156" s="20"/>
      <c r="N156" s="20"/>
      <c r="O156" s="20"/>
      <c r="P156" s="20"/>
      <c r="Q156" s="20"/>
      <c r="R156" s="20"/>
      <c r="AR156" s="25"/>
      <c r="AS156" s="25"/>
      <c r="AT156" s="41"/>
      <c r="AU156" s="21"/>
    </row>
    <row r="157" spans="8:47" ht="16" customHeight="1">
      <c r="H157" s="20"/>
      <c r="I157" s="20"/>
      <c r="J157" s="20"/>
      <c r="K157" s="20"/>
      <c r="L157" s="20"/>
      <c r="M157" s="20"/>
      <c r="N157" s="20"/>
      <c r="O157" s="20"/>
      <c r="P157" s="20"/>
      <c r="Q157" s="20"/>
      <c r="R157" s="20"/>
      <c r="AR157" s="25"/>
      <c r="AS157" s="25"/>
      <c r="AT157" s="41"/>
      <c r="AU157" s="21"/>
    </row>
    <row r="158" spans="8:47" ht="16" customHeight="1">
      <c r="H158" s="20"/>
      <c r="I158" s="20"/>
      <c r="J158" s="20"/>
      <c r="K158" s="20"/>
      <c r="L158" s="20"/>
      <c r="M158" s="20"/>
      <c r="N158" s="20"/>
      <c r="O158" s="20"/>
      <c r="P158" s="20"/>
      <c r="Q158" s="20"/>
      <c r="R158" s="20"/>
      <c r="AR158" s="25"/>
      <c r="AS158" s="25"/>
      <c r="AT158" s="41"/>
      <c r="AU158" s="21"/>
    </row>
    <row r="159" spans="8:47" ht="16" customHeight="1">
      <c r="H159" s="20"/>
      <c r="I159" s="20"/>
      <c r="J159" s="20"/>
      <c r="K159" s="20"/>
      <c r="L159" s="20"/>
      <c r="M159" s="20"/>
      <c r="N159" s="20"/>
      <c r="O159" s="20"/>
      <c r="P159" s="20"/>
      <c r="Q159" s="20"/>
      <c r="R159" s="20"/>
      <c r="AR159" s="25"/>
      <c r="AS159" s="25"/>
      <c r="AT159" s="41"/>
      <c r="AU159" s="21"/>
    </row>
    <row r="160" spans="8:47" ht="16" customHeight="1">
      <c r="H160" s="20"/>
      <c r="I160" s="20"/>
      <c r="J160" s="20"/>
      <c r="K160" s="20"/>
      <c r="L160" s="20"/>
      <c r="M160" s="20"/>
      <c r="N160" s="20"/>
      <c r="O160" s="20"/>
      <c r="P160" s="20"/>
      <c r="Q160" s="20"/>
      <c r="R160" s="20"/>
      <c r="AR160" s="25"/>
      <c r="AS160" s="25"/>
      <c r="AT160" s="41"/>
      <c r="AU160" s="21"/>
    </row>
    <row r="161" spans="8:47" ht="16" customHeight="1">
      <c r="H161" s="20"/>
      <c r="I161" s="20"/>
      <c r="J161" s="20"/>
      <c r="K161" s="20"/>
      <c r="L161" s="20"/>
      <c r="M161" s="20"/>
      <c r="N161" s="20"/>
      <c r="O161" s="20"/>
      <c r="P161" s="20"/>
      <c r="Q161" s="20"/>
      <c r="R161" s="20"/>
      <c r="AR161" s="25"/>
      <c r="AS161" s="25"/>
      <c r="AT161" s="41"/>
      <c r="AU161" s="21"/>
    </row>
    <row r="162" spans="8:47" ht="16" customHeight="1">
      <c r="H162" s="20"/>
      <c r="I162" s="20"/>
      <c r="J162" s="20"/>
      <c r="K162" s="20"/>
      <c r="L162" s="20"/>
      <c r="M162" s="20"/>
      <c r="N162" s="20"/>
      <c r="O162" s="20"/>
      <c r="P162" s="20"/>
      <c r="Q162" s="20"/>
      <c r="R162" s="20"/>
      <c r="AR162" s="25"/>
      <c r="AS162" s="25"/>
      <c r="AT162" s="41"/>
      <c r="AU162" s="21"/>
    </row>
    <row r="163" spans="8:47" ht="16" customHeight="1">
      <c r="H163" s="20"/>
      <c r="I163" s="20"/>
      <c r="J163" s="20"/>
      <c r="K163" s="20"/>
      <c r="L163" s="20"/>
      <c r="M163" s="20"/>
      <c r="N163" s="20"/>
      <c r="O163" s="20"/>
      <c r="P163" s="20"/>
      <c r="Q163" s="20"/>
      <c r="R163" s="20"/>
      <c r="AR163" s="25"/>
      <c r="AS163" s="25"/>
      <c r="AT163" s="41"/>
      <c r="AU163" s="21"/>
    </row>
    <row r="164" spans="8:47" ht="16" customHeight="1">
      <c r="H164" s="20"/>
      <c r="I164" s="20"/>
      <c r="J164" s="20"/>
      <c r="K164" s="20"/>
      <c r="L164" s="20"/>
      <c r="M164" s="20"/>
      <c r="N164" s="20"/>
      <c r="O164" s="20"/>
      <c r="P164" s="20"/>
      <c r="Q164" s="20"/>
      <c r="R164" s="20"/>
      <c r="AR164" s="25"/>
      <c r="AS164" s="25"/>
      <c r="AT164" s="41"/>
      <c r="AU164" s="21"/>
    </row>
    <row r="165" spans="8:47" ht="16" customHeight="1">
      <c r="H165" s="20"/>
      <c r="I165" s="20"/>
      <c r="J165" s="20"/>
      <c r="K165" s="20"/>
      <c r="L165" s="20"/>
      <c r="M165" s="20"/>
      <c r="N165" s="20"/>
      <c r="O165" s="20"/>
      <c r="P165" s="20"/>
      <c r="Q165" s="20"/>
      <c r="R165" s="20"/>
      <c r="AR165" s="25"/>
      <c r="AS165" s="25"/>
      <c r="AT165" s="41"/>
      <c r="AU165" s="21"/>
    </row>
    <row r="166" spans="8:47" ht="16" customHeight="1">
      <c r="H166" s="20"/>
      <c r="I166" s="20"/>
      <c r="J166" s="20"/>
      <c r="K166" s="20"/>
      <c r="L166" s="20"/>
      <c r="M166" s="20"/>
      <c r="N166" s="20"/>
      <c r="O166" s="20"/>
      <c r="P166" s="20"/>
      <c r="Q166" s="20"/>
      <c r="R166" s="20"/>
      <c r="AR166" s="25"/>
      <c r="AS166" s="25"/>
      <c r="AT166" s="41"/>
      <c r="AU166" s="21"/>
    </row>
    <row r="167" spans="8:47" ht="16" customHeight="1">
      <c r="H167" s="20"/>
      <c r="I167" s="20"/>
      <c r="J167" s="20"/>
      <c r="K167" s="20"/>
      <c r="L167" s="20"/>
      <c r="M167" s="20"/>
      <c r="N167" s="20"/>
      <c r="O167" s="20"/>
      <c r="P167" s="20"/>
      <c r="Q167" s="20"/>
      <c r="R167" s="20"/>
      <c r="AR167" s="25"/>
      <c r="AS167" s="25"/>
      <c r="AT167" s="41"/>
      <c r="AU167" s="21"/>
    </row>
    <row r="168" spans="8:47" ht="16" customHeight="1">
      <c r="H168" s="20"/>
      <c r="I168" s="20"/>
      <c r="J168" s="20"/>
      <c r="K168" s="20"/>
      <c r="L168" s="20"/>
      <c r="M168" s="20"/>
      <c r="N168" s="20"/>
      <c r="O168" s="20"/>
      <c r="P168" s="20"/>
      <c r="Q168" s="20"/>
      <c r="R168" s="20"/>
      <c r="AR168" s="25"/>
      <c r="AS168" s="25"/>
      <c r="AT168" s="41"/>
      <c r="AU168" s="21"/>
    </row>
    <row r="169" spans="8:47" ht="16" customHeight="1">
      <c r="H169" s="20"/>
      <c r="I169" s="20"/>
      <c r="J169" s="20"/>
      <c r="K169" s="20"/>
      <c r="L169" s="20"/>
      <c r="M169" s="20"/>
      <c r="N169" s="20"/>
      <c r="O169" s="20"/>
      <c r="P169" s="20"/>
      <c r="Q169" s="20"/>
      <c r="R169" s="20"/>
      <c r="AR169" s="25"/>
      <c r="AS169" s="25"/>
      <c r="AT169" s="41"/>
      <c r="AU169" s="21"/>
    </row>
    <row r="170" spans="8:47" ht="16" customHeight="1">
      <c r="H170" s="20"/>
      <c r="I170" s="20"/>
      <c r="J170" s="20"/>
      <c r="K170" s="20"/>
      <c r="L170" s="20"/>
      <c r="M170" s="20"/>
      <c r="N170" s="20"/>
      <c r="O170" s="20"/>
      <c r="P170" s="20"/>
      <c r="Q170" s="20"/>
      <c r="R170" s="20"/>
      <c r="AR170" s="25"/>
      <c r="AS170" s="25"/>
      <c r="AT170" s="41"/>
      <c r="AU170" s="21"/>
    </row>
    <row r="171" spans="8:47" ht="16" customHeight="1">
      <c r="H171" s="20"/>
      <c r="I171" s="20"/>
      <c r="J171" s="20"/>
      <c r="K171" s="20"/>
      <c r="L171" s="20"/>
      <c r="M171" s="20"/>
      <c r="N171" s="20"/>
      <c r="O171" s="20"/>
      <c r="P171" s="20"/>
      <c r="Q171" s="20"/>
      <c r="R171" s="20"/>
      <c r="AR171" s="25"/>
      <c r="AS171" s="25"/>
      <c r="AT171" s="41"/>
      <c r="AU171" s="21"/>
    </row>
    <row r="172" spans="8:47" ht="16" customHeight="1">
      <c r="H172" s="20"/>
      <c r="I172" s="20"/>
      <c r="J172" s="20"/>
      <c r="K172" s="20"/>
      <c r="L172" s="20"/>
      <c r="M172" s="20"/>
      <c r="N172" s="20"/>
      <c r="O172" s="20"/>
      <c r="P172" s="20"/>
      <c r="Q172" s="20"/>
      <c r="R172" s="20"/>
      <c r="AR172" s="25"/>
      <c r="AS172" s="25"/>
      <c r="AT172" s="41"/>
      <c r="AU172" s="21"/>
    </row>
    <row r="173" spans="8:47" ht="16" customHeight="1">
      <c r="H173" s="20"/>
      <c r="I173" s="20"/>
      <c r="J173" s="20"/>
      <c r="K173" s="20"/>
      <c r="L173" s="20"/>
      <c r="M173" s="20"/>
      <c r="N173" s="20"/>
      <c r="O173" s="20"/>
      <c r="P173" s="20"/>
      <c r="Q173" s="20"/>
      <c r="R173" s="20"/>
      <c r="AR173" s="25"/>
      <c r="AS173" s="25"/>
      <c r="AT173" s="41"/>
      <c r="AU173" s="21"/>
    </row>
    <row r="174" spans="8:47" ht="16" customHeight="1">
      <c r="H174" s="20"/>
      <c r="I174" s="20"/>
      <c r="J174" s="20"/>
      <c r="K174" s="20"/>
      <c r="L174" s="20"/>
      <c r="M174" s="20"/>
      <c r="N174" s="20"/>
      <c r="O174" s="20"/>
      <c r="P174" s="20"/>
      <c r="Q174" s="20"/>
      <c r="R174" s="20"/>
      <c r="AR174" s="25"/>
      <c r="AS174" s="25"/>
      <c r="AT174" s="41"/>
      <c r="AU174" s="21"/>
    </row>
    <row r="175" spans="8:47" ht="16" customHeight="1">
      <c r="H175" s="20"/>
      <c r="I175" s="20"/>
      <c r="J175" s="20"/>
      <c r="K175" s="20"/>
      <c r="L175" s="20"/>
      <c r="M175" s="20"/>
      <c r="N175" s="20"/>
      <c r="O175" s="20"/>
      <c r="P175" s="20"/>
      <c r="Q175" s="20"/>
      <c r="R175" s="20"/>
      <c r="AR175" s="25"/>
      <c r="AS175" s="25"/>
      <c r="AT175" s="41"/>
      <c r="AU175" s="21"/>
    </row>
    <row r="176" spans="8:47" ht="16" customHeight="1">
      <c r="H176" s="20"/>
      <c r="I176" s="20"/>
      <c r="J176" s="20"/>
      <c r="K176" s="20"/>
      <c r="L176" s="20"/>
      <c r="M176" s="20"/>
      <c r="N176" s="20"/>
      <c r="O176" s="20"/>
      <c r="P176" s="20"/>
      <c r="Q176" s="20"/>
      <c r="R176" s="20"/>
      <c r="AR176" s="25"/>
      <c r="AS176" s="25"/>
      <c r="AT176" s="41"/>
      <c r="AU176" s="21"/>
    </row>
    <row r="177" spans="8:47" ht="16" customHeight="1">
      <c r="H177" s="20"/>
      <c r="I177" s="20"/>
      <c r="J177" s="20"/>
      <c r="K177" s="20"/>
      <c r="L177" s="20"/>
      <c r="M177" s="20"/>
      <c r="N177" s="20"/>
      <c r="O177" s="20"/>
      <c r="P177" s="20"/>
      <c r="Q177" s="20"/>
      <c r="R177" s="20"/>
      <c r="AR177" s="25"/>
      <c r="AS177" s="25"/>
      <c r="AT177" s="41"/>
      <c r="AU177" s="21"/>
    </row>
    <row r="178" spans="8:47" ht="16" customHeight="1">
      <c r="H178" s="20"/>
      <c r="I178" s="20"/>
      <c r="J178" s="20"/>
      <c r="K178" s="20"/>
      <c r="L178" s="20"/>
      <c r="M178" s="20"/>
      <c r="N178" s="20"/>
      <c r="O178" s="20"/>
      <c r="P178" s="20"/>
      <c r="Q178" s="20"/>
      <c r="R178" s="20"/>
      <c r="AR178" s="25"/>
      <c r="AS178" s="25"/>
      <c r="AT178" s="41"/>
      <c r="AU178" s="21"/>
    </row>
    <row r="179" spans="8:47" ht="16" customHeight="1">
      <c r="H179" s="20"/>
      <c r="I179" s="20"/>
      <c r="J179" s="20"/>
      <c r="K179" s="20"/>
      <c r="L179" s="20"/>
      <c r="M179" s="20"/>
      <c r="N179" s="20"/>
      <c r="O179" s="20"/>
      <c r="P179" s="20"/>
      <c r="Q179" s="20"/>
      <c r="R179" s="20"/>
      <c r="AR179" s="25"/>
      <c r="AS179" s="25"/>
      <c r="AT179" s="41"/>
      <c r="AU179" s="21"/>
    </row>
    <row r="180" spans="8:47" ht="16" customHeight="1">
      <c r="H180" s="20"/>
      <c r="I180" s="20"/>
      <c r="J180" s="20"/>
      <c r="K180" s="20"/>
      <c r="L180" s="20"/>
      <c r="M180" s="20"/>
      <c r="N180" s="20"/>
      <c r="O180" s="20"/>
      <c r="P180" s="20"/>
      <c r="Q180" s="20"/>
      <c r="R180" s="20"/>
      <c r="AR180" s="25"/>
      <c r="AS180" s="25"/>
      <c r="AT180" s="41"/>
      <c r="AU180" s="21"/>
    </row>
    <row r="181" spans="8:47" ht="16" customHeight="1">
      <c r="H181" s="20"/>
      <c r="I181" s="20"/>
      <c r="J181" s="20"/>
      <c r="K181" s="20"/>
      <c r="L181" s="20"/>
      <c r="M181" s="20"/>
      <c r="N181" s="20"/>
      <c r="O181" s="20"/>
      <c r="P181" s="20"/>
      <c r="Q181" s="20"/>
      <c r="R181" s="20"/>
      <c r="AR181" s="25"/>
      <c r="AS181" s="25"/>
      <c r="AT181" s="41"/>
      <c r="AU181" s="21"/>
    </row>
    <row r="182" spans="8:47" ht="16" customHeight="1">
      <c r="H182" s="20"/>
      <c r="I182" s="20"/>
      <c r="J182" s="20"/>
      <c r="K182" s="20"/>
      <c r="L182" s="20"/>
      <c r="M182" s="20"/>
      <c r="N182" s="20"/>
      <c r="O182" s="20"/>
      <c r="P182" s="20"/>
      <c r="Q182" s="20"/>
      <c r="R182" s="20"/>
      <c r="AR182" s="25"/>
      <c r="AS182" s="25"/>
      <c r="AT182" s="41"/>
      <c r="AU182" s="21"/>
    </row>
    <row r="183" spans="8:47" ht="16" customHeight="1">
      <c r="H183" s="20"/>
      <c r="I183" s="20"/>
      <c r="J183" s="20"/>
      <c r="K183" s="20"/>
      <c r="L183" s="20"/>
      <c r="M183" s="20"/>
      <c r="N183" s="20"/>
      <c r="O183" s="20"/>
      <c r="P183" s="20"/>
      <c r="Q183" s="20"/>
      <c r="R183" s="20"/>
      <c r="AR183" s="25"/>
      <c r="AS183" s="25"/>
      <c r="AT183" s="41"/>
      <c r="AU183" s="21"/>
    </row>
    <row r="184" spans="8:47" ht="16" customHeight="1">
      <c r="H184" s="20"/>
      <c r="I184" s="20"/>
      <c r="J184" s="20"/>
      <c r="K184" s="20"/>
      <c r="L184" s="20"/>
      <c r="M184" s="20"/>
      <c r="N184" s="20"/>
      <c r="O184" s="20"/>
      <c r="P184" s="20"/>
      <c r="Q184" s="20"/>
      <c r="R184" s="20"/>
      <c r="AR184" s="25"/>
      <c r="AS184" s="25"/>
      <c r="AT184" s="41"/>
      <c r="AU184" s="21"/>
    </row>
    <row r="185" spans="8:47" ht="16" customHeight="1">
      <c r="H185" s="20"/>
      <c r="I185" s="20"/>
      <c r="J185" s="20"/>
      <c r="K185" s="20"/>
      <c r="L185" s="20"/>
      <c r="M185" s="20"/>
      <c r="N185" s="20"/>
      <c r="O185" s="20"/>
      <c r="P185" s="20"/>
      <c r="Q185" s="20"/>
      <c r="R185" s="20"/>
      <c r="AR185" s="25"/>
      <c r="AS185" s="25"/>
      <c r="AT185" s="41"/>
      <c r="AU185" s="21"/>
    </row>
    <row r="186" spans="8:47" ht="16" customHeight="1">
      <c r="H186" s="20"/>
      <c r="I186" s="20"/>
      <c r="J186" s="20"/>
      <c r="K186" s="20"/>
      <c r="L186" s="20"/>
      <c r="M186" s="20"/>
      <c r="N186" s="20"/>
      <c r="O186" s="20"/>
      <c r="P186" s="20"/>
      <c r="Q186" s="20"/>
      <c r="R186" s="20"/>
      <c r="AR186" s="25"/>
      <c r="AS186" s="25"/>
      <c r="AT186" s="41"/>
      <c r="AU186" s="21"/>
    </row>
    <row r="187" spans="8:47" ht="16" customHeight="1">
      <c r="H187" s="20"/>
      <c r="I187" s="20"/>
      <c r="J187" s="20"/>
      <c r="K187" s="20"/>
      <c r="L187" s="20"/>
      <c r="M187" s="20"/>
      <c r="N187" s="20"/>
      <c r="O187" s="20"/>
      <c r="P187" s="20"/>
      <c r="Q187" s="20"/>
      <c r="R187" s="20"/>
      <c r="AR187" s="25"/>
      <c r="AS187" s="25"/>
      <c r="AT187" s="41"/>
      <c r="AU187" s="21"/>
    </row>
    <row r="188" spans="8:47" ht="16" customHeight="1">
      <c r="H188" s="20"/>
      <c r="I188" s="20"/>
      <c r="J188" s="20"/>
      <c r="K188" s="20"/>
      <c r="L188" s="20"/>
      <c r="M188" s="20"/>
      <c r="N188" s="20"/>
      <c r="O188" s="20"/>
      <c r="P188" s="20"/>
      <c r="Q188" s="20"/>
      <c r="R188" s="20"/>
      <c r="AR188" s="25"/>
      <c r="AS188" s="25"/>
      <c r="AT188" s="41"/>
      <c r="AU188" s="21"/>
    </row>
    <row r="189" spans="8:47" ht="16" customHeight="1">
      <c r="H189" s="20"/>
      <c r="I189" s="20"/>
      <c r="J189" s="20"/>
      <c r="K189" s="20"/>
      <c r="L189" s="20"/>
      <c r="M189" s="20"/>
      <c r="N189" s="20"/>
      <c r="O189" s="20"/>
      <c r="P189" s="20"/>
      <c r="Q189" s="20"/>
      <c r="R189" s="20"/>
      <c r="AR189" s="25"/>
      <c r="AS189" s="25"/>
      <c r="AT189" s="41"/>
      <c r="AU189" s="21"/>
    </row>
    <row r="190" spans="8:47" ht="16" customHeight="1">
      <c r="H190" s="20"/>
      <c r="I190" s="20"/>
      <c r="J190" s="20"/>
      <c r="K190" s="20"/>
      <c r="L190" s="20"/>
      <c r="M190" s="20"/>
      <c r="N190" s="20"/>
      <c r="O190" s="20"/>
      <c r="P190" s="20"/>
      <c r="Q190" s="20"/>
      <c r="R190" s="20"/>
      <c r="AR190" s="25"/>
      <c r="AS190" s="25"/>
      <c r="AT190" s="41"/>
      <c r="AU190" s="21"/>
    </row>
    <row r="191" spans="8:47" ht="16" customHeight="1">
      <c r="H191" s="20"/>
      <c r="I191" s="20"/>
      <c r="J191" s="20"/>
      <c r="K191" s="20"/>
      <c r="L191" s="20"/>
      <c r="M191" s="20"/>
      <c r="N191" s="20"/>
      <c r="O191" s="20"/>
      <c r="P191" s="20"/>
      <c r="Q191" s="20"/>
      <c r="R191" s="20"/>
      <c r="AR191" s="25"/>
      <c r="AS191" s="25"/>
      <c r="AT191" s="41"/>
      <c r="AU191" s="21"/>
    </row>
    <row r="192" spans="8:47" ht="16" customHeight="1">
      <c r="H192" s="20"/>
      <c r="I192" s="20"/>
      <c r="J192" s="20"/>
      <c r="K192" s="20"/>
      <c r="L192" s="20"/>
      <c r="M192" s="20"/>
      <c r="N192" s="20"/>
      <c r="O192" s="20"/>
      <c r="P192" s="20"/>
      <c r="Q192" s="20"/>
      <c r="R192" s="20"/>
      <c r="AR192" s="25"/>
      <c r="AS192" s="25"/>
      <c r="AT192" s="41"/>
      <c r="AU192" s="21"/>
    </row>
    <row r="193" spans="8:47" ht="16" customHeight="1">
      <c r="H193" s="20"/>
      <c r="I193" s="20"/>
      <c r="J193" s="20"/>
      <c r="K193" s="20"/>
      <c r="L193" s="20"/>
      <c r="M193" s="20"/>
      <c r="N193" s="20"/>
      <c r="O193" s="20"/>
      <c r="P193" s="20"/>
      <c r="Q193" s="20"/>
      <c r="R193" s="20"/>
      <c r="AR193" s="25"/>
      <c r="AS193" s="25"/>
      <c r="AT193" s="41"/>
      <c r="AU193" s="21"/>
    </row>
    <row r="194" spans="8:47" ht="16" customHeight="1">
      <c r="H194" s="20"/>
      <c r="I194" s="20"/>
      <c r="J194" s="20"/>
      <c r="K194" s="20"/>
      <c r="L194" s="20"/>
      <c r="M194" s="20"/>
      <c r="N194" s="20"/>
      <c r="O194" s="20"/>
      <c r="P194" s="20"/>
      <c r="Q194" s="20"/>
      <c r="R194" s="20"/>
      <c r="AR194" s="25"/>
      <c r="AS194" s="25"/>
      <c r="AT194" s="41"/>
      <c r="AU194" s="21"/>
    </row>
    <row r="195" spans="8:47" ht="16" customHeight="1">
      <c r="H195" s="20"/>
      <c r="I195" s="20"/>
      <c r="J195" s="20"/>
      <c r="K195" s="20"/>
      <c r="L195" s="20"/>
      <c r="M195" s="20"/>
      <c r="N195" s="20"/>
      <c r="O195" s="20"/>
      <c r="P195" s="20"/>
      <c r="Q195" s="20"/>
      <c r="R195" s="20"/>
      <c r="AR195" s="25"/>
      <c r="AS195" s="25"/>
      <c r="AT195" s="41"/>
      <c r="AU195" s="21"/>
    </row>
    <row r="196" spans="8:47" ht="16" customHeight="1">
      <c r="H196" s="20"/>
      <c r="I196" s="20"/>
      <c r="J196" s="20"/>
      <c r="K196" s="20"/>
      <c r="L196" s="20"/>
      <c r="M196" s="20"/>
      <c r="N196" s="20"/>
      <c r="O196" s="20"/>
      <c r="P196" s="20"/>
      <c r="Q196" s="20"/>
      <c r="R196" s="20"/>
      <c r="AR196" s="25"/>
      <c r="AS196" s="25"/>
      <c r="AT196" s="41"/>
      <c r="AU196" s="21"/>
    </row>
    <row r="197" spans="8:47" ht="16" customHeight="1">
      <c r="H197" s="20"/>
      <c r="I197" s="20"/>
      <c r="J197" s="20"/>
      <c r="K197" s="20"/>
      <c r="L197" s="20"/>
      <c r="M197" s="20"/>
      <c r="N197" s="20"/>
      <c r="O197" s="20"/>
      <c r="P197" s="20"/>
      <c r="Q197" s="20"/>
      <c r="R197" s="20"/>
      <c r="AR197" s="25"/>
      <c r="AS197" s="25"/>
      <c r="AT197" s="41"/>
      <c r="AU197" s="21"/>
    </row>
    <row r="198" spans="8:47" ht="16" customHeight="1">
      <c r="H198" s="20"/>
      <c r="I198" s="20"/>
      <c r="J198" s="20"/>
      <c r="K198" s="20"/>
      <c r="L198" s="20"/>
      <c r="M198" s="20"/>
      <c r="N198" s="20"/>
      <c r="O198" s="20"/>
      <c r="P198" s="20"/>
      <c r="Q198" s="20"/>
      <c r="R198" s="20"/>
      <c r="AR198" s="25"/>
      <c r="AS198" s="25"/>
      <c r="AT198" s="41"/>
      <c r="AU198" s="21"/>
    </row>
    <row r="199" spans="8:47" ht="16" customHeight="1">
      <c r="H199" s="20"/>
      <c r="I199" s="20"/>
      <c r="J199" s="20"/>
      <c r="K199" s="20"/>
      <c r="L199" s="20"/>
      <c r="M199" s="20"/>
      <c r="N199" s="20"/>
      <c r="O199" s="20"/>
      <c r="P199" s="20"/>
      <c r="Q199" s="20"/>
      <c r="R199" s="20"/>
      <c r="AR199" s="25"/>
      <c r="AS199" s="25"/>
      <c r="AT199" s="41"/>
      <c r="AU199" s="21"/>
    </row>
    <row r="200" spans="8:47" ht="16" customHeight="1">
      <c r="H200" s="20"/>
      <c r="I200" s="20"/>
      <c r="J200" s="20"/>
      <c r="K200" s="20"/>
      <c r="L200" s="20"/>
      <c r="M200" s="20"/>
      <c r="N200" s="20"/>
      <c r="O200" s="20"/>
      <c r="P200" s="20"/>
      <c r="Q200" s="20"/>
      <c r="R200" s="20"/>
      <c r="AR200" s="25"/>
      <c r="AS200" s="25"/>
      <c r="AT200" s="41"/>
      <c r="AU200" s="21"/>
    </row>
    <row r="201" spans="8:47" ht="16" customHeight="1">
      <c r="H201" s="20"/>
      <c r="I201" s="20"/>
      <c r="J201" s="20"/>
      <c r="K201" s="20"/>
      <c r="L201" s="20"/>
      <c r="M201" s="20"/>
      <c r="N201" s="20"/>
      <c r="O201" s="20"/>
      <c r="P201" s="20"/>
      <c r="Q201" s="20"/>
      <c r="R201" s="20"/>
      <c r="AR201" s="25"/>
      <c r="AS201" s="25"/>
      <c r="AT201" s="41"/>
      <c r="AU201" s="21"/>
    </row>
    <row r="202" spans="8:47" ht="16" customHeight="1">
      <c r="H202" s="20"/>
      <c r="I202" s="20"/>
      <c r="J202" s="20"/>
      <c r="K202" s="20"/>
      <c r="L202" s="20"/>
      <c r="M202" s="20"/>
      <c r="N202" s="20"/>
      <c r="O202" s="20"/>
      <c r="P202" s="20"/>
      <c r="Q202" s="20"/>
      <c r="R202" s="20"/>
      <c r="AR202" s="25"/>
      <c r="AS202" s="25"/>
      <c r="AT202" s="41"/>
      <c r="AU202" s="21"/>
    </row>
    <row r="203" spans="8:47" ht="16" customHeight="1">
      <c r="H203" s="20"/>
      <c r="I203" s="20"/>
      <c r="J203" s="20"/>
      <c r="K203" s="20"/>
      <c r="L203" s="20"/>
      <c r="M203" s="20"/>
      <c r="N203" s="20"/>
      <c r="O203" s="20"/>
      <c r="P203" s="20"/>
      <c r="Q203" s="20"/>
      <c r="R203" s="20"/>
      <c r="AR203" s="25"/>
      <c r="AS203" s="25"/>
      <c r="AT203" s="41"/>
      <c r="AU203" s="21"/>
    </row>
    <row r="204" spans="8:47" ht="16" customHeight="1">
      <c r="H204" s="20"/>
      <c r="I204" s="20"/>
      <c r="J204" s="20"/>
      <c r="K204" s="20"/>
      <c r="L204" s="20"/>
      <c r="M204" s="20"/>
      <c r="N204" s="20"/>
      <c r="O204" s="20"/>
      <c r="P204" s="20"/>
      <c r="Q204" s="20"/>
      <c r="R204" s="20"/>
      <c r="AR204" s="25"/>
      <c r="AS204" s="25"/>
      <c r="AT204" s="41"/>
      <c r="AU204" s="21"/>
    </row>
    <row r="205" spans="8:47" ht="16" customHeight="1">
      <c r="H205" s="20"/>
      <c r="I205" s="20"/>
      <c r="J205" s="20"/>
      <c r="K205" s="20"/>
      <c r="L205" s="20"/>
      <c r="M205" s="20"/>
      <c r="N205" s="20"/>
      <c r="O205" s="20"/>
      <c r="P205" s="20"/>
      <c r="Q205" s="20"/>
      <c r="R205" s="20"/>
      <c r="AR205" s="25"/>
      <c r="AS205" s="25"/>
      <c r="AT205" s="41"/>
      <c r="AU205" s="21"/>
    </row>
    <row r="206" spans="8:47" ht="16" customHeight="1">
      <c r="H206" s="20"/>
      <c r="I206" s="20"/>
      <c r="J206" s="20"/>
      <c r="K206" s="20"/>
      <c r="L206" s="20"/>
      <c r="M206" s="20"/>
      <c r="N206" s="20"/>
      <c r="O206" s="20"/>
      <c r="P206" s="20"/>
      <c r="Q206" s="20"/>
      <c r="R206" s="20"/>
      <c r="AR206" s="25"/>
      <c r="AS206" s="25"/>
      <c r="AT206" s="41"/>
      <c r="AU206" s="21"/>
    </row>
    <row r="207" spans="8:47" ht="16" customHeight="1">
      <c r="H207" s="20"/>
      <c r="I207" s="20"/>
      <c r="J207" s="20"/>
      <c r="K207" s="20"/>
      <c r="L207" s="20"/>
      <c r="M207" s="20"/>
      <c r="N207" s="20"/>
      <c r="O207" s="20"/>
      <c r="P207" s="20"/>
      <c r="Q207" s="20"/>
      <c r="R207" s="20"/>
      <c r="AR207" s="25"/>
      <c r="AS207" s="25"/>
      <c r="AT207" s="41"/>
      <c r="AU207" s="21"/>
    </row>
    <row r="208" spans="8:47" ht="16" customHeight="1">
      <c r="H208" s="20"/>
      <c r="I208" s="20"/>
      <c r="J208" s="20"/>
      <c r="K208" s="20"/>
      <c r="L208" s="20"/>
      <c r="M208" s="20"/>
      <c r="N208" s="20"/>
      <c r="O208" s="20"/>
      <c r="P208" s="20"/>
      <c r="Q208" s="20"/>
      <c r="R208" s="20"/>
      <c r="AR208" s="25"/>
      <c r="AS208" s="25"/>
      <c r="AT208" s="41"/>
      <c r="AU208" s="21"/>
    </row>
    <row r="209" spans="8:47" ht="16" customHeight="1">
      <c r="H209" s="20"/>
      <c r="I209" s="20"/>
      <c r="J209" s="20"/>
      <c r="K209" s="20"/>
      <c r="L209" s="20"/>
      <c r="M209" s="20"/>
      <c r="N209" s="20"/>
      <c r="O209" s="20"/>
      <c r="P209" s="20"/>
      <c r="Q209" s="20"/>
      <c r="R209" s="20"/>
      <c r="AR209" s="25"/>
      <c r="AS209" s="25"/>
      <c r="AT209" s="41"/>
      <c r="AU209" s="21"/>
    </row>
    <row r="210" spans="8:47" ht="16" customHeight="1">
      <c r="H210" s="20"/>
      <c r="I210" s="20"/>
      <c r="J210" s="20"/>
      <c r="K210" s="20"/>
      <c r="L210" s="20"/>
      <c r="M210" s="20"/>
      <c r="N210" s="20"/>
      <c r="O210" s="20"/>
      <c r="P210" s="20"/>
      <c r="Q210" s="20"/>
      <c r="R210" s="20"/>
      <c r="AR210" s="25"/>
      <c r="AS210" s="25"/>
      <c r="AT210" s="41"/>
      <c r="AU210" s="21"/>
    </row>
    <row r="211" spans="8:47" ht="16" customHeight="1">
      <c r="H211" s="20"/>
      <c r="I211" s="20"/>
      <c r="J211" s="20"/>
      <c r="K211" s="20"/>
      <c r="L211" s="20"/>
      <c r="M211" s="20"/>
      <c r="N211" s="20"/>
      <c r="O211" s="20"/>
      <c r="P211" s="20"/>
      <c r="Q211" s="20"/>
      <c r="R211" s="20"/>
      <c r="AR211" s="25"/>
      <c r="AS211" s="25"/>
      <c r="AT211" s="41"/>
      <c r="AU211" s="21"/>
    </row>
    <row r="212" spans="8:47" ht="16" customHeight="1">
      <c r="H212" s="20"/>
      <c r="I212" s="20"/>
      <c r="J212" s="20"/>
      <c r="K212" s="20"/>
      <c r="L212" s="20"/>
      <c r="M212" s="20"/>
      <c r="N212" s="20"/>
      <c r="O212" s="20"/>
      <c r="P212" s="20"/>
      <c r="Q212" s="20"/>
      <c r="R212" s="20"/>
      <c r="AR212" s="25"/>
      <c r="AS212" s="25"/>
      <c r="AT212" s="41"/>
      <c r="AU212" s="21"/>
    </row>
    <row r="213" spans="8:47" ht="16" customHeight="1">
      <c r="H213" s="20"/>
      <c r="I213" s="20"/>
      <c r="J213" s="20"/>
      <c r="K213" s="20"/>
      <c r="L213" s="20"/>
      <c r="M213" s="20"/>
      <c r="N213" s="20"/>
      <c r="O213" s="20"/>
      <c r="P213" s="20"/>
      <c r="Q213" s="20"/>
      <c r="R213" s="20"/>
      <c r="AR213" s="25"/>
      <c r="AS213" s="25"/>
      <c r="AT213" s="41"/>
      <c r="AU213" s="21"/>
    </row>
    <row r="214" spans="8:47" ht="16" customHeight="1">
      <c r="H214" s="20"/>
      <c r="I214" s="20"/>
      <c r="J214" s="20"/>
      <c r="K214" s="20"/>
      <c r="L214" s="20"/>
      <c r="M214" s="20"/>
      <c r="N214" s="20"/>
      <c r="O214" s="20"/>
      <c r="P214" s="20"/>
      <c r="Q214" s="20"/>
      <c r="R214" s="20"/>
      <c r="AR214" s="25"/>
      <c r="AS214" s="25"/>
      <c r="AT214" s="41"/>
      <c r="AU214" s="21"/>
    </row>
    <row r="215" spans="8:47" ht="16" customHeight="1">
      <c r="H215" s="20"/>
      <c r="I215" s="20"/>
      <c r="J215" s="20"/>
      <c r="K215" s="20"/>
      <c r="L215" s="20"/>
      <c r="M215" s="20"/>
      <c r="N215" s="20"/>
      <c r="O215" s="20"/>
      <c r="P215" s="20"/>
      <c r="Q215" s="20"/>
      <c r="R215" s="20"/>
      <c r="AR215" s="25"/>
      <c r="AS215" s="25"/>
      <c r="AT215" s="41"/>
      <c r="AU215" s="21"/>
    </row>
    <row r="216" spans="8:47" ht="16" customHeight="1">
      <c r="H216" s="20"/>
      <c r="I216" s="20"/>
      <c r="J216" s="20"/>
      <c r="K216" s="20"/>
      <c r="L216" s="20"/>
      <c r="M216" s="20"/>
      <c r="N216" s="20"/>
      <c r="O216" s="20"/>
      <c r="P216" s="20"/>
      <c r="Q216" s="20"/>
      <c r="R216" s="20"/>
      <c r="AR216" s="25"/>
      <c r="AS216" s="25"/>
      <c r="AT216" s="41"/>
      <c r="AU216" s="21"/>
    </row>
    <row r="217" spans="8:47" ht="16" customHeight="1">
      <c r="H217" s="20"/>
      <c r="I217" s="20"/>
      <c r="J217" s="20"/>
      <c r="K217" s="20"/>
      <c r="L217" s="20"/>
      <c r="M217" s="20"/>
      <c r="N217" s="20"/>
      <c r="O217" s="20"/>
      <c r="P217" s="20"/>
      <c r="Q217" s="20"/>
      <c r="R217" s="20"/>
      <c r="AR217" s="25"/>
      <c r="AS217" s="25"/>
      <c r="AT217" s="41"/>
      <c r="AU217" s="21"/>
    </row>
    <row r="218" spans="8:47" ht="16" customHeight="1">
      <c r="H218" s="20"/>
      <c r="I218" s="20"/>
      <c r="J218" s="20"/>
      <c r="K218" s="20"/>
      <c r="L218" s="20"/>
      <c r="M218" s="20"/>
      <c r="N218" s="20"/>
      <c r="O218" s="20"/>
      <c r="P218" s="20"/>
      <c r="Q218" s="20"/>
      <c r="R218" s="20"/>
      <c r="AR218" s="25"/>
      <c r="AS218" s="25"/>
      <c r="AT218" s="41"/>
      <c r="AU218" s="21"/>
    </row>
    <row r="219" spans="8:47" ht="16" customHeight="1">
      <c r="H219" s="20"/>
      <c r="I219" s="20"/>
      <c r="J219" s="20"/>
      <c r="K219" s="20"/>
      <c r="L219" s="20"/>
      <c r="M219" s="20"/>
      <c r="N219" s="20"/>
      <c r="O219" s="20"/>
      <c r="P219" s="20"/>
      <c r="Q219" s="20"/>
      <c r="R219" s="20"/>
      <c r="AR219" s="25"/>
      <c r="AS219" s="25"/>
      <c r="AT219" s="41"/>
      <c r="AU219" s="21"/>
    </row>
    <row r="220" spans="8:47" ht="16" customHeight="1">
      <c r="H220" s="20"/>
      <c r="I220" s="20"/>
      <c r="J220" s="20"/>
      <c r="K220" s="20"/>
      <c r="L220" s="20"/>
      <c r="M220" s="20"/>
      <c r="N220" s="20"/>
      <c r="O220" s="20"/>
      <c r="P220" s="20"/>
      <c r="Q220" s="20"/>
      <c r="R220" s="20"/>
      <c r="AR220" s="25"/>
      <c r="AS220" s="25"/>
      <c r="AT220" s="41"/>
      <c r="AU220" s="21"/>
    </row>
    <row r="221" spans="8:47" ht="16" customHeight="1">
      <c r="H221" s="20"/>
      <c r="I221" s="20"/>
      <c r="J221" s="20"/>
      <c r="K221" s="20"/>
      <c r="L221" s="20"/>
      <c r="M221" s="20"/>
      <c r="N221" s="20"/>
      <c r="O221" s="20"/>
      <c r="P221" s="20"/>
      <c r="Q221" s="20"/>
      <c r="R221" s="20"/>
      <c r="AR221" s="25"/>
      <c r="AS221" s="25"/>
      <c r="AT221" s="41"/>
      <c r="AU221" s="21"/>
    </row>
    <row r="222" spans="8:47" ht="16" customHeight="1">
      <c r="H222" s="20"/>
      <c r="I222" s="20"/>
      <c r="J222" s="20"/>
      <c r="K222" s="20"/>
      <c r="L222" s="20"/>
      <c r="M222" s="20"/>
      <c r="N222" s="20"/>
      <c r="O222" s="20"/>
      <c r="P222" s="20"/>
      <c r="Q222" s="20"/>
      <c r="R222" s="20"/>
      <c r="AR222" s="25"/>
      <c r="AS222" s="25"/>
      <c r="AT222" s="41"/>
      <c r="AU222" s="21"/>
    </row>
    <row r="223" spans="8:47" ht="16" customHeight="1">
      <c r="H223" s="20"/>
      <c r="I223" s="20"/>
      <c r="J223" s="20"/>
      <c r="K223" s="20"/>
      <c r="L223" s="20"/>
      <c r="M223" s="20"/>
      <c r="N223" s="20"/>
      <c r="O223" s="20"/>
      <c r="P223" s="20"/>
      <c r="Q223" s="20"/>
      <c r="R223" s="20"/>
      <c r="AR223" s="25"/>
      <c r="AS223" s="25"/>
      <c r="AT223" s="41"/>
      <c r="AU223" s="21"/>
    </row>
    <row r="224" spans="8:47" ht="16" customHeight="1">
      <c r="H224" s="20"/>
      <c r="I224" s="20"/>
      <c r="J224" s="20"/>
      <c r="K224" s="20"/>
      <c r="L224" s="20"/>
      <c r="M224" s="20"/>
      <c r="N224" s="20"/>
      <c r="O224" s="20"/>
      <c r="P224" s="20"/>
      <c r="Q224" s="20"/>
      <c r="R224" s="20"/>
      <c r="AR224" s="25"/>
      <c r="AS224" s="25"/>
      <c r="AT224" s="41"/>
      <c r="AU224" s="21"/>
    </row>
    <row r="225" spans="8:47" ht="16" customHeight="1">
      <c r="H225" s="20"/>
      <c r="I225" s="20"/>
      <c r="J225" s="20"/>
      <c r="K225" s="20"/>
      <c r="L225" s="20"/>
      <c r="M225" s="20"/>
      <c r="N225" s="20"/>
      <c r="O225" s="20"/>
      <c r="P225" s="20"/>
      <c r="Q225" s="20"/>
      <c r="R225" s="20"/>
      <c r="AR225" s="25"/>
      <c r="AS225" s="25"/>
      <c r="AT225" s="41"/>
      <c r="AU225" s="21"/>
    </row>
    <row r="226" spans="8:47" ht="16" customHeight="1">
      <c r="H226" s="20"/>
      <c r="I226" s="20"/>
      <c r="J226" s="20"/>
      <c r="K226" s="20"/>
      <c r="L226" s="20"/>
      <c r="M226" s="20"/>
      <c r="N226" s="20"/>
      <c r="O226" s="20"/>
      <c r="P226" s="20"/>
      <c r="Q226" s="20"/>
      <c r="R226" s="20"/>
      <c r="AR226" s="25"/>
      <c r="AS226" s="25"/>
      <c r="AT226" s="41"/>
      <c r="AU226" s="21"/>
    </row>
    <row r="227" spans="8:47" ht="16" customHeight="1">
      <c r="H227" s="20"/>
      <c r="I227" s="20"/>
      <c r="J227" s="20"/>
      <c r="K227" s="20"/>
      <c r="L227" s="20"/>
      <c r="M227" s="20"/>
      <c r="N227" s="20"/>
      <c r="O227" s="20"/>
      <c r="P227" s="20"/>
      <c r="Q227" s="20"/>
      <c r="R227" s="20"/>
      <c r="AR227" s="25"/>
      <c r="AS227" s="25"/>
      <c r="AT227" s="41"/>
      <c r="AU227" s="21"/>
    </row>
    <row r="228" spans="8:47" ht="16" customHeight="1">
      <c r="H228" s="20"/>
      <c r="I228" s="20"/>
      <c r="J228" s="20"/>
      <c r="K228" s="20"/>
      <c r="L228" s="20"/>
      <c r="M228" s="20"/>
      <c r="N228" s="20"/>
      <c r="O228" s="20"/>
      <c r="P228" s="20"/>
      <c r="Q228" s="20"/>
      <c r="R228" s="20"/>
      <c r="AR228" s="25"/>
      <c r="AS228" s="25"/>
      <c r="AT228" s="41"/>
      <c r="AU228" s="21"/>
    </row>
    <row r="229" spans="8:47" ht="16" customHeight="1">
      <c r="H229" s="20"/>
      <c r="I229" s="20"/>
      <c r="J229" s="20"/>
      <c r="K229" s="20"/>
      <c r="L229" s="20"/>
      <c r="M229" s="20"/>
      <c r="N229" s="20"/>
      <c r="O229" s="20"/>
      <c r="P229" s="20"/>
      <c r="Q229" s="20"/>
      <c r="R229" s="20"/>
      <c r="AR229" s="25"/>
      <c r="AS229" s="25"/>
      <c r="AT229" s="41"/>
      <c r="AU229" s="21"/>
    </row>
    <row r="230" spans="8:47" ht="16" customHeight="1">
      <c r="H230" s="20"/>
      <c r="I230" s="20"/>
      <c r="J230" s="20"/>
      <c r="K230" s="20"/>
      <c r="L230" s="20"/>
      <c r="M230" s="20"/>
      <c r="N230" s="20"/>
      <c r="O230" s="20"/>
      <c r="P230" s="20"/>
      <c r="Q230" s="20"/>
      <c r="R230" s="20"/>
      <c r="AR230" s="25"/>
      <c r="AS230" s="25"/>
      <c r="AT230" s="41"/>
      <c r="AU230" s="21"/>
    </row>
    <row r="231" spans="8:47" ht="16" customHeight="1">
      <c r="H231" s="20"/>
      <c r="I231" s="20"/>
      <c r="J231" s="20"/>
      <c r="K231" s="20"/>
      <c r="L231" s="20"/>
      <c r="M231" s="20"/>
      <c r="N231" s="20"/>
      <c r="O231" s="20"/>
      <c r="P231" s="20"/>
      <c r="Q231" s="20"/>
      <c r="R231" s="20"/>
      <c r="AR231" s="25"/>
      <c r="AS231" s="25"/>
      <c r="AT231" s="41"/>
      <c r="AU231" s="21"/>
    </row>
    <row r="232" spans="8:47" ht="16" customHeight="1">
      <c r="H232" s="20"/>
      <c r="I232" s="20"/>
      <c r="J232" s="20"/>
      <c r="K232" s="20"/>
      <c r="L232" s="20"/>
      <c r="M232" s="20"/>
      <c r="N232" s="20"/>
      <c r="O232" s="20"/>
      <c r="P232" s="20"/>
      <c r="Q232" s="20"/>
      <c r="R232" s="20"/>
      <c r="AR232" s="25"/>
      <c r="AS232" s="25"/>
      <c r="AT232" s="41"/>
      <c r="AU232" s="21"/>
    </row>
    <row r="233" spans="8:47" ht="16" customHeight="1">
      <c r="H233" s="20"/>
      <c r="I233" s="20"/>
      <c r="J233" s="20"/>
      <c r="K233" s="20"/>
      <c r="L233" s="20"/>
      <c r="M233" s="20"/>
      <c r="N233" s="20"/>
      <c r="O233" s="20"/>
      <c r="P233" s="20"/>
      <c r="Q233" s="20"/>
      <c r="R233" s="20"/>
      <c r="AR233" s="25"/>
      <c r="AS233" s="25"/>
      <c r="AT233" s="41"/>
      <c r="AU233" s="21"/>
    </row>
    <row r="234" spans="8:47" ht="16" customHeight="1">
      <c r="H234" s="20"/>
      <c r="I234" s="20"/>
      <c r="J234" s="20"/>
      <c r="K234" s="20"/>
      <c r="L234" s="20"/>
      <c r="M234" s="20"/>
      <c r="N234" s="20"/>
      <c r="O234" s="20"/>
      <c r="P234" s="20"/>
      <c r="Q234" s="20"/>
      <c r="R234" s="20"/>
      <c r="AR234" s="25"/>
      <c r="AS234" s="25"/>
      <c r="AT234" s="41"/>
      <c r="AU234" s="21"/>
    </row>
    <row r="235" spans="8:47" ht="16" customHeight="1">
      <c r="H235" s="20"/>
      <c r="I235" s="20"/>
      <c r="J235" s="20"/>
      <c r="K235" s="20"/>
      <c r="L235" s="20"/>
      <c r="M235" s="20"/>
      <c r="N235" s="20"/>
      <c r="O235" s="20"/>
      <c r="P235" s="20"/>
      <c r="Q235" s="20"/>
      <c r="R235" s="20"/>
      <c r="AR235" s="25"/>
      <c r="AS235" s="25"/>
      <c r="AT235" s="41"/>
      <c r="AU235" s="21"/>
    </row>
    <row r="236" spans="8:47" ht="16" customHeight="1">
      <c r="H236" s="20"/>
      <c r="I236" s="20"/>
      <c r="J236" s="20"/>
      <c r="K236" s="20"/>
      <c r="L236" s="20"/>
      <c r="M236" s="20"/>
      <c r="N236" s="20"/>
      <c r="O236" s="20"/>
      <c r="P236" s="20"/>
      <c r="Q236" s="20"/>
      <c r="R236" s="20"/>
      <c r="AR236" s="25"/>
      <c r="AS236" s="25"/>
      <c r="AT236" s="41"/>
      <c r="AU236" s="21"/>
    </row>
    <row r="237" spans="8:47" ht="16" customHeight="1">
      <c r="H237" s="20"/>
      <c r="I237" s="20"/>
      <c r="J237" s="20"/>
      <c r="K237" s="20"/>
      <c r="L237" s="20"/>
      <c r="M237" s="20"/>
      <c r="N237" s="20"/>
      <c r="O237" s="20"/>
      <c r="P237" s="20"/>
      <c r="Q237" s="20"/>
      <c r="R237" s="20"/>
      <c r="AR237" s="25"/>
      <c r="AS237" s="25"/>
      <c r="AT237" s="41"/>
      <c r="AU237" s="21"/>
    </row>
    <row r="238" spans="8:47" ht="16" customHeight="1">
      <c r="H238" s="20"/>
      <c r="I238" s="20"/>
      <c r="J238" s="20"/>
      <c r="K238" s="20"/>
      <c r="L238" s="20"/>
      <c r="M238" s="20"/>
      <c r="N238" s="20"/>
      <c r="O238" s="20"/>
      <c r="P238" s="20"/>
      <c r="Q238" s="20"/>
      <c r="R238" s="20"/>
      <c r="AR238" s="25"/>
      <c r="AS238" s="25"/>
      <c r="AT238" s="41"/>
      <c r="AU238" s="21"/>
    </row>
    <row r="239" spans="8:47" ht="16" customHeight="1">
      <c r="H239" s="20"/>
      <c r="I239" s="20"/>
      <c r="J239" s="20"/>
      <c r="K239" s="20"/>
      <c r="L239" s="20"/>
      <c r="M239" s="20"/>
      <c r="N239" s="20"/>
      <c r="O239" s="20"/>
      <c r="P239" s="20"/>
      <c r="Q239" s="20"/>
      <c r="R239" s="20"/>
      <c r="AR239" s="25"/>
      <c r="AS239" s="25"/>
      <c r="AT239" s="41"/>
      <c r="AU239" s="21"/>
    </row>
    <row r="240" spans="8:47" ht="16" customHeight="1">
      <c r="H240" s="20"/>
      <c r="I240" s="20"/>
      <c r="J240" s="20"/>
      <c r="K240" s="20"/>
      <c r="L240" s="20"/>
      <c r="M240" s="20"/>
      <c r="N240" s="20"/>
      <c r="O240" s="20"/>
      <c r="P240" s="20"/>
      <c r="Q240" s="20"/>
      <c r="R240" s="20"/>
      <c r="AR240" s="25"/>
      <c r="AS240" s="25"/>
      <c r="AT240" s="41"/>
      <c r="AU240" s="21"/>
    </row>
    <row r="241" spans="8:47" ht="16" customHeight="1">
      <c r="H241" s="20"/>
      <c r="I241" s="20"/>
      <c r="J241" s="20"/>
      <c r="K241" s="20"/>
      <c r="L241" s="20"/>
      <c r="M241" s="20"/>
      <c r="N241" s="20"/>
      <c r="O241" s="20"/>
      <c r="P241" s="20"/>
      <c r="Q241" s="20"/>
      <c r="R241" s="20"/>
      <c r="AR241" s="25"/>
      <c r="AS241" s="25"/>
      <c r="AT241" s="41"/>
      <c r="AU241" s="21"/>
    </row>
    <row r="242" spans="8:47" ht="16" customHeight="1">
      <c r="H242" s="20"/>
      <c r="I242" s="20"/>
      <c r="J242" s="20"/>
      <c r="K242" s="20"/>
      <c r="L242" s="20"/>
      <c r="M242" s="20"/>
      <c r="N242" s="20"/>
      <c r="O242" s="20"/>
      <c r="P242" s="20"/>
      <c r="Q242" s="20"/>
      <c r="R242" s="20"/>
      <c r="AR242" s="25"/>
      <c r="AS242" s="25"/>
      <c r="AT242" s="41"/>
      <c r="AU242" s="21"/>
    </row>
    <row r="243" spans="8:47" ht="16" customHeight="1">
      <c r="H243" s="20"/>
      <c r="I243" s="20"/>
      <c r="J243" s="20"/>
      <c r="K243" s="20"/>
      <c r="L243" s="20"/>
      <c r="M243" s="20"/>
      <c r="N243" s="20"/>
      <c r="O243" s="20"/>
      <c r="P243" s="20"/>
      <c r="Q243" s="20"/>
      <c r="R243" s="20"/>
      <c r="AR243" s="25"/>
      <c r="AS243" s="25"/>
      <c r="AT243" s="41"/>
      <c r="AU243" s="21"/>
    </row>
    <row r="244" spans="8:47" ht="16" customHeight="1">
      <c r="H244" s="20"/>
      <c r="I244" s="20"/>
      <c r="J244" s="20"/>
      <c r="K244" s="20"/>
      <c r="L244" s="20"/>
      <c r="M244" s="20"/>
      <c r="N244" s="20"/>
      <c r="O244" s="20"/>
      <c r="P244" s="20"/>
      <c r="Q244" s="20"/>
      <c r="R244" s="20"/>
      <c r="AR244" s="25"/>
      <c r="AS244" s="25"/>
      <c r="AT244" s="41"/>
      <c r="AU244" s="21"/>
    </row>
    <row r="245" spans="8:47" ht="16" customHeight="1">
      <c r="H245" s="20"/>
      <c r="I245" s="20"/>
      <c r="J245" s="20"/>
      <c r="K245" s="20"/>
      <c r="L245" s="20"/>
      <c r="M245" s="20"/>
      <c r="N245" s="20"/>
      <c r="O245" s="20"/>
      <c r="P245" s="20"/>
      <c r="Q245" s="20"/>
      <c r="R245" s="20"/>
      <c r="AR245" s="25"/>
      <c r="AS245" s="25"/>
      <c r="AT245" s="41"/>
      <c r="AU245" s="21"/>
    </row>
    <row r="246" spans="8:47" ht="16" customHeight="1">
      <c r="H246" s="20"/>
      <c r="I246" s="20"/>
      <c r="J246" s="20"/>
      <c r="K246" s="20"/>
      <c r="L246" s="20"/>
      <c r="M246" s="20"/>
      <c r="N246" s="20"/>
      <c r="O246" s="20"/>
      <c r="P246" s="20"/>
      <c r="Q246" s="20"/>
      <c r="R246" s="20"/>
      <c r="AR246" s="25"/>
      <c r="AS246" s="25"/>
      <c r="AT246" s="41"/>
      <c r="AU246" s="21"/>
    </row>
    <row r="247" spans="8:47" ht="16" customHeight="1">
      <c r="H247" s="20"/>
      <c r="I247" s="20"/>
      <c r="J247" s="20"/>
      <c r="K247" s="20"/>
      <c r="L247" s="20"/>
      <c r="M247" s="20"/>
      <c r="N247" s="20"/>
      <c r="O247" s="20"/>
      <c r="P247" s="20"/>
      <c r="Q247" s="20"/>
      <c r="R247" s="20"/>
      <c r="AR247" s="25"/>
      <c r="AS247" s="25"/>
      <c r="AT247" s="41"/>
      <c r="AU247" s="21"/>
    </row>
    <row r="248" spans="8:47" ht="16" customHeight="1">
      <c r="H248" s="20"/>
      <c r="I248" s="20"/>
      <c r="J248" s="20"/>
      <c r="K248" s="20"/>
      <c r="L248" s="20"/>
      <c r="M248" s="20"/>
      <c r="N248" s="20"/>
      <c r="O248" s="20"/>
      <c r="P248" s="20"/>
      <c r="Q248" s="20"/>
      <c r="R248" s="20"/>
      <c r="AR248" s="25"/>
      <c r="AS248" s="25"/>
      <c r="AT248" s="41"/>
      <c r="AU248" s="21"/>
    </row>
    <row r="249" spans="8:47" ht="16" customHeight="1">
      <c r="H249" s="20"/>
      <c r="I249" s="20"/>
      <c r="J249" s="20"/>
      <c r="K249" s="20"/>
      <c r="L249" s="20"/>
      <c r="M249" s="20"/>
      <c r="N249" s="20"/>
      <c r="O249" s="20"/>
      <c r="P249" s="20"/>
      <c r="Q249" s="20"/>
      <c r="R249" s="20"/>
      <c r="AR249" s="25"/>
      <c r="AS249" s="25"/>
      <c r="AT249" s="41"/>
      <c r="AU249" s="21"/>
    </row>
    <row r="250" spans="8:47" ht="16" customHeight="1">
      <c r="H250" s="20"/>
      <c r="I250" s="20"/>
      <c r="J250" s="20"/>
      <c r="K250" s="20"/>
      <c r="L250" s="20"/>
      <c r="M250" s="20"/>
      <c r="N250" s="20"/>
      <c r="O250" s="20"/>
      <c r="P250" s="20"/>
      <c r="Q250" s="20"/>
      <c r="R250" s="20"/>
      <c r="AR250" s="25"/>
      <c r="AS250" s="25"/>
      <c r="AT250" s="41"/>
      <c r="AU250" s="21"/>
    </row>
    <row r="251" spans="8:47" ht="16" customHeight="1">
      <c r="H251" s="20"/>
      <c r="I251" s="20"/>
      <c r="J251" s="20"/>
      <c r="K251" s="20"/>
      <c r="L251" s="20"/>
      <c r="M251" s="20"/>
      <c r="N251" s="20"/>
      <c r="O251" s="20"/>
      <c r="P251" s="20"/>
      <c r="Q251" s="20"/>
      <c r="R251" s="20"/>
      <c r="AR251" s="25"/>
      <c r="AS251" s="25"/>
      <c r="AT251" s="41"/>
      <c r="AU251" s="21"/>
    </row>
    <row r="252" spans="8:47" ht="16" customHeight="1">
      <c r="H252" s="20"/>
      <c r="I252" s="20"/>
      <c r="J252" s="20"/>
      <c r="K252" s="20"/>
      <c r="L252" s="20"/>
      <c r="M252" s="20"/>
      <c r="N252" s="20"/>
      <c r="O252" s="20"/>
      <c r="P252" s="20"/>
      <c r="Q252" s="20"/>
      <c r="R252" s="20"/>
      <c r="AR252" s="25"/>
      <c r="AS252" s="25"/>
      <c r="AT252" s="41"/>
      <c r="AU252" s="21"/>
    </row>
    <row r="253" spans="8:47" ht="16" customHeight="1">
      <c r="H253" s="20"/>
      <c r="I253" s="20"/>
      <c r="J253" s="20"/>
      <c r="K253" s="20"/>
      <c r="L253" s="20"/>
      <c r="M253" s="20"/>
      <c r="N253" s="20"/>
      <c r="O253" s="20"/>
      <c r="P253" s="20"/>
      <c r="Q253" s="20"/>
      <c r="R253" s="20"/>
      <c r="AR253" s="25"/>
      <c r="AS253" s="25"/>
      <c r="AT253" s="41"/>
      <c r="AU253" s="21"/>
    </row>
    <row r="254" spans="8:47" ht="16" customHeight="1">
      <c r="H254" s="20"/>
      <c r="I254" s="20"/>
      <c r="J254" s="20"/>
      <c r="K254" s="20"/>
      <c r="L254" s="20"/>
      <c r="M254" s="20"/>
      <c r="N254" s="20"/>
      <c r="O254" s="20"/>
      <c r="P254" s="20"/>
      <c r="Q254" s="20"/>
      <c r="R254" s="20"/>
      <c r="AR254" s="25"/>
      <c r="AS254" s="25"/>
      <c r="AT254" s="41"/>
      <c r="AU254" s="21"/>
    </row>
    <row r="255" spans="8:47" ht="16" customHeight="1">
      <c r="H255" s="20"/>
      <c r="I255" s="20"/>
      <c r="J255" s="20"/>
      <c r="K255" s="20"/>
      <c r="L255" s="20"/>
      <c r="M255" s="20"/>
      <c r="N255" s="20"/>
      <c r="O255" s="20"/>
      <c r="P255" s="20"/>
      <c r="Q255" s="20"/>
      <c r="R255" s="20"/>
      <c r="AR255" s="25"/>
      <c r="AS255" s="25"/>
      <c r="AT255" s="41"/>
      <c r="AU255" s="21"/>
    </row>
    <row r="256" spans="8:47" ht="16" customHeight="1">
      <c r="H256" s="20"/>
      <c r="I256" s="20"/>
      <c r="J256" s="20"/>
      <c r="K256" s="20"/>
      <c r="L256" s="20"/>
      <c r="M256" s="20"/>
      <c r="N256" s="20"/>
      <c r="O256" s="20"/>
      <c r="P256" s="20"/>
      <c r="Q256" s="20"/>
      <c r="R256" s="20"/>
      <c r="AR256" s="25"/>
      <c r="AS256" s="25"/>
      <c r="AT256" s="41"/>
      <c r="AU256" s="21"/>
    </row>
    <row r="257" spans="8:47" ht="16" customHeight="1">
      <c r="H257" s="20"/>
      <c r="I257" s="20"/>
      <c r="J257" s="20"/>
      <c r="K257" s="20"/>
      <c r="L257" s="20"/>
      <c r="M257" s="20"/>
      <c r="N257" s="20"/>
      <c r="O257" s="20"/>
      <c r="P257" s="20"/>
      <c r="Q257" s="20"/>
      <c r="R257" s="20"/>
      <c r="AR257" s="25"/>
      <c r="AS257" s="25"/>
      <c r="AT257" s="41"/>
      <c r="AU257" s="21"/>
    </row>
    <row r="258" spans="8:47" ht="16" customHeight="1">
      <c r="H258" s="20"/>
      <c r="I258" s="20"/>
      <c r="J258" s="20"/>
      <c r="K258" s="20"/>
      <c r="L258" s="20"/>
      <c r="M258" s="20"/>
      <c r="N258" s="20"/>
      <c r="O258" s="20"/>
      <c r="P258" s="20"/>
      <c r="Q258" s="20"/>
      <c r="R258" s="20"/>
      <c r="AR258" s="25"/>
      <c r="AS258" s="25"/>
      <c r="AT258" s="41"/>
      <c r="AU258" s="21"/>
    </row>
    <row r="259" spans="8:47" ht="16" customHeight="1">
      <c r="H259" s="20"/>
      <c r="I259" s="20"/>
      <c r="J259" s="20"/>
      <c r="K259" s="20"/>
      <c r="L259" s="20"/>
      <c r="M259" s="20"/>
      <c r="N259" s="20"/>
      <c r="O259" s="20"/>
      <c r="P259" s="20"/>
      <c r="Q259" s="20"/>
      <c r="R259" s="20"/>
      <c r="AR259" s="25"/>
      <c r="AS259" s="25"/>
      <c r="AT259" s="41"/>
      <c r="AU259" s="21"/>
    </row>
    <row r="260" spans="8:47" ht="16" customHeight="1">
      <c r="H260" s="20"/>
      <c r="I260" s="20"/>
      <c r="J260" s="20"/>
      <c r="K260" s="20"/>
      <c r="L260" s="20"/>
      <c r="M260" s="20"/>
      <c r="N260" s="20"/>
      <c r="O260" s="20"/>
      <c r="P260" s="20"/>
      <c r="Q260" s="20"/>
      <c r="R260" s="20"/>
      <c r="AR260" s="25"/>
      <c r="AS260" s="25"/>
      <c r="AT260" s="41"/>
      <c r="AU260" s="21"/>
    </row>
    <row r="261" spans="8:47" ht="16" customHeight="1">
      <c r="H261" s="20"/>
      <c r="I261" s="20"/>
      <c r="J261" s="20"/>
      <c r="K261" s="20"/>
      <c r="L261" s="20"/>
      <c r="M261" s="20"/>
      <c r="N261" s="20"/>
      <c r="O261" s="20"/>
      <c r="P261" s="20"/>
      <c r="Q261" s="20"/>
      <c r="R261" s="20"/>
      <c r="AR261" s="25"/>
      <c r="AS261" s="25"/>
      <c r="AT261" s="41"/>
      <c r="AU261" s="21"/>
    </row>
    <row r="262" spans="8:47" ht="16" customHeight="1">
      <c r="H262" s="20"/>
      <c r="I262" s="20"/>
      <c r="J262" s="20"/>
      <c r="K262" s="20"/>
      <c r="L262" s="20"/>
      <c r="M262" s="20"/>
      <c r="N262" s="20"/>
      <c r="O262" s="20"/>
      <c r="P262" s="20"/>
      <c r="Q262" s="20"/>
      <c r="R262" s="20"/>
      <c r="AR262" s="25"/>
      <c r="AS262" s="25"/>
      <c r="AT262" s="41"/>
      <c r="AU262" s="21"/>
    </row>
    <row r="263" spans="8:47" ht="16" customHeight="1">
      <c r="H263" s="20"/>
      <c r="I263" s="20"/>
      <c r="J263" s="20"/>
      <c r="K263" s="20"/>
      <c r="L263" s="20"/>
      <c r="M263" s="20"/>
      <c r="N263" s="20"/>
      <c r="O263" s="20"/>
      <c r="P263" s="20"/>
      <c r="Q263" s="20"/>
      <c r="R263" s="20"/>
      <c r="AR263" s="25"/>
      <c r="AS263" s="25"/>
      <c r="AT263" s="41"/>
      <c r="AU263" s="21"/>
    </row>
    <row r="264" spans="8:47" ht="16" customHeight="1">
      <c r="H264" s="20"/>
      <c r="I264" s="20"/>
      <c r="J264" s="20"/>
      <c r="K264" s="20"/>
      <c r="L264" s="20"/>
      <c r="M264" s="20"/>
      <c r="N264" s="20"/>
      <c r="O264" s="20"/>
      <c r="P264" s="20"/>
      <c r="Q264" s="20"/>
      <c r="R264" s="20"/>
      <c r="AR264" s="25"/>
      <c r="AS264" s="25"/>
      <c r="AT264" s="41"/>
      <c r="AU264" s="21"/>
    </row>
    <row r="265" spans="8:47" ht="16" customHeight="1">
      <c r="H265" s="20"/>
      <c r="I265" s="20"/>
      <c r="J265" s="20"/>
      <c r="K265" s="20"/>
      <c r="L265" s="20"/>
      <c r="M265" s="20"/>
      <c r="N265" s="20"/>
      <c r="O265" s="20"/>
      <c r="P265" s="20"/>
      <c r="Q265" s="20"/>
      <c r="R265" s="20"/>
      <c r="AR265" s="25"/>
      <c r="AS265" s="25"/>
      <c r="AT265" s="41"/>
      <c r="AU265" s="21"/>
    </row>
    <row r="266" spans="8:47" ht="16" customHeight="1">
      <c r="H266" s="20"/>
      <c r="I266" s="20"/>
      <c r="J266" s="20"/>
      <c r="K266" s="20"/>
      <c r="L266" s="20"/>
      <c r="M266" s="20"/>
      <c r="N266" s="20"/>
      <c r="O266" s="20"/>
      <c r="P266" s="20"/>
      <c r="Q266" s="20"/>
      <c r="R266" s="20"/>
      <c r="AR266" s="25"/>
      <c r="AS266" s="25"/>
      <c r="AT266" s="41"/>
      <c r="AU266" s="21"/>
    </row>
    <row r="267" spans="8:47" ht="16" customHeight="1">
      <c r="H267" s="20"/>
      <c r="I267" s="20"/>
      <c r="J267" s="20"/>
      <c r="K267" s="20"/>
      <c r="L267" s="20"/>
      <c r="M267" s="20"/>
      <c r="N267" s="20"/>
      <c r="O267" s="20"/>
      <c r="P267" s="20"/>
      <c r="Q267" s="20"/>
      <c r="R267" s="20"/>
      <c r="AR267" s="25"/>
      <c r="AS267" s="25"/>
      <c r="AT267" s="41"/>
      <c r="AU267" s="21"/>
    </row>
    <row r="268" spans="8:47" ht="16" customHeight="1">
      <c r="H268" s="20"/>
      <c r="I268" s="20"/>
      <c r="J268" s="20"/>
      <c r="K268" s="20"/>
      <c r="L268" s="20"/>
      <c r="M268" s="20"/>
      <c r="N268" s="20"/>
      <c r="O268" s="20"/>
      <c r="P268" s="20"/>
      <c r="Q268" s="20"/>
      <c r="R268" s="20"/>
      <c r="AR268" s="25"/>
      <c r="AS268" s="25"/>
      <c r="AT268" s="41"/>
      <c r="AU268" s="21"/>
    </row>
    <row r="269" spans="8:47" ht="16" customHeight="1">
      <c r="H269" s="20"/>
      <c r="I269" s="20"/>
      <c r="J269" s="20"/>
      <c r="K269" s="20"/>
      <c r="L269" s="20"/>
      <c r="M269" s="20"/>
      <c r="N269" s="20"/>
      <c r="O269" s="20"/>
      <c r="P269" s="20"/>
      <c r="Q269" s="20"/>
      <c r="R269" s="20"/>
      <c r="AR269" s="25"/>
      <c r="AS269" s="25"/>
      <c r="AT269" s="41"/>
      <c r="AU269" s="21"/>
    </row>
    <row r="270" spans="8:47" ht="16" customHeight="1">
      <c r="H270" s="20"/>
      <c r="I270" s="20"/>
      <c r="J270" s="20"/>
      <c r="K270" s="20"/>
      <c r="L270" s="20"/>
      <c r="M270" s="20"/>
      <c r="N270" s="20"/>
      <c r="O270" s="20"/>
      <c r="P270" s="20"/>
      <c r="Q270" s="20"/>
      <c r="R270" s="20"/>
      <c r="AR270" s="25"/>
      <c r="AS270" s="25"/>
      <c r="AT270" s="41"/>
      <c r="AU270" s="21"/>
    </row>
    <row r="271" spans="8:47" ht="16" customHeight="1">
      <c r="H271" s="20"/>
      <c r="I271" s="20"/>
      <c r="J271" s="20"/>
      <c r="K271" s="20"/>
      <c r="L271" s="20"/>
      <c r="M271" s="20"/>
      <c r="N271" s="20"/>
      <c r="O271" s="20"/>
      <c r="P271" s="20"/>
      <c r="Q271" s="20"/>
      <c r="R271" s="20"/>
      <c r="AR271" s="25"/>
      <c r="AS271" s="25"/>
      <c r="AT271" s="41"/>
      <c r="AU271" s="21"/>
    </row>
    <row r="272" spans="8:47" ht="16" customHeight="1">
      <c r="H272" s="20"/>
      <c r="I272" s="20"/>
      <c r="J272" s="20"/>
      <c r="K272" s="20"/>
      <c r="L272" s="20"/>
      <c r="M272" s="20"/>
      <c r="N272" s="20"/>
      <c r="O272" s="20"/>
      <c r="P272" s="20"/>
      <c r="Q272" s="20"/>
      <c r="R272" s="20"/>
      <c r="AR272" s="25"/>
      <c r="AS272" s="25"/>
      <c r="AT272" s="41"/>
      <c r="AU272" s="21"/>
    </row>
    <row r="273" spans="8:47" ht="16" customHeight="1">
      <c r="H273" s="20"/>
      <c r="I273" s="20"/>
      <c r="J273" s="20"/>
      <c r="K273" s="20"/>
      <c r="L273" s="20"/>
      <c r="M273" s="20"/>
      <c r="N273" s="20"/>
      <c r="O273" s="20"/>
      <c r="P273" s="20"/>
      <c r="Q273" s="20"/>
      <c r="R273" s="20"/>
      <c r="AR273" s="25"/>
      <c r="AS273" s="25"/>
      <c r="AT273" s="41"/>
      <c r="AU273" s="21"/>
    </row>
    <row r="274" spans="8:47" ht="16" customHeight="1">
      <c r="H274" s="20"/>
      <c r="I274" s="20"/>
      <c r="J274" s="20"/>
      <c r="K274" s="20"/>
      <c r="L274" s="20"/>
      <c r="M274" s="20"/>
      <c r="N274" s="20"/>
      <c r="O274" s="20"/>
      <c r="P274" s="20"/>
      <c r="Q274" s="20"/>
      <c r="R274" s="20"/>
      <c r="AR274" s="25"/>
      <c r="AS274" s="25"/>
      <c r="AT274" s="41"/>
      <c r="AU274" s="21"/>
    </row>
    <row r="275" spans="8:47" ht="16" customHeight="1">
      <c r="H275" s="20"/>
      <c r="I275" s="20"/>
      <c r="J275" s="20"/>
      <c r="K275" s="20"/>
      <c r="L275" s="20"/>
      <c r="M275" s="20"/>
      <c r="N275" s="20"/>
      <c r="O275" s="20"/>
      <c r="P275" s="20"/>
      <c r="Q275" s="20"/>
      <c r="R275" s="20"/>
      <c r="AR275" s="25"/>
      <c r="AS275" s="25"/>
      <c r="AT275" s="41"/>
      <c r="AU275" s="21"/>
    </row>
    <row r="276" spans="8:47" ht="16" customHeight="1">
      <c r="H276" s="20"/>
      <c r="I276" s="20"/>
      <c r="J276" s="20"/>
      <c r="K276" s="20"/>
      <c r="L276" s="20"/>
      <c r="M276" s="20"/>
      <c r="N276" s="20"/>
      <c r="O276" s="20"/>
      <c r="P276" s="20"/>
      <c r="Q276" s="20"/>
      <c r="R276" s="20"/>
      <c r="AR276" s="25"/>
      <c r="AS276" s="25"/>
      <c r="AT276" s="41"/>
      <c r="AU276" s="21"/>
    </row>
    <row r="277" spans="8:47" ht="16" customHeight="1">
      <c r="H277" s="20"/>
      <c r="I277" s="20"/>
      <c r="J277" s="20"/>
      <c r="K277" s="20"/>
      <c r="L277" s="20"/>
      <c r="M277" s="20"/>
      <c r="N277" s="20"/>
      <c r="O277" s="20"/>
      <c r="P277" s="20"/>
      <c r="Q277" s="20"/>
      <c r="R277" s="20"/>
      <c r="AR277" s="25"/>
      <c r="AS277" s="25"/>
      <c r="AT277" s="41"/>
      <c r="AU277" s="21"/>
    </row>
    <row r="278" spans="8:47" ht="16" customHeight="1">
      <c r="H278" s="20"/>
      <c r="I278" s="20"/>
      <c r="J278" s="20"/>
      <c r="K278" s="20"/>
      <c r="L278" s="20"/>
      <c r="M278" s="20"/>
      <c r="N278" s="20"/>
      <c r="O278" s="20"/>
      <c r="P278" s="20"/>
      <c r="Q278" s="20"/>
      <c r="R278" s="20"/>
      <c r="AR278" s="25"/>
      <c r="AS278" s="25"/>
      <c r="AT278" s="41"/>
      <c r="AU278" s="21"/>
    </row>
    <row r="279" spans="8:47" ht="16" customHeight="1">
      <c r="H279" s="20"/>
      <c r="I279" s="20"/>
      <c r="J279" s="20"/>
      <c r="K279" s="20"/>
      <c r="L279" s="20"/>
      <c r="M279" s="20"/>
      <c r="N279" s="20"/>
      <c r="O279" s="20"/>
      <c r="P279" s="20"/>
      <c r="Q279" s="20"/>
      <c r="R279" s="20"/>
      <c r="AR279" s="25"/>
      <c r="AS279" s="25"/>
      <c r="AT279" s="41"/>
      <c r="AU279" s="21"/>
    </row>
    <row r="280" spans="8:47" ht="16" customHeight="1">
      <c r="H280" s="20"/>
      <c r="I280" s="20"/>
      <c r="J280" s="20"/>
      <c r="K280" s="20"/>
      <c r="L280" s="20"/>
      <c r="M280" s="20"/>
      <c r="N280" s="20"/>
      <c r="O280" s="20"/>
      <c r="P280" s="20"/>
      <c r="Q280" s="20"/>
      <c r="R280" s="20"/>
      <c r="AR280" s="25"/>
      <c r="AS280" s="25"/>
      <c r="AT280" s="41"/>
      <c r="AU280" s="21"/>
    </row>
    <row r="281" spans="8:47" ht="16" customHeight="1">
      <c r="H281" s="20"/>
      <c r="I281" s="20"/>
      <c r="J281" s="20"/>
      <c r="K281" s="20"/>
      <c r="L281" s="20"/>
      <c r="M281" s="20"/>
      <c r="N281" s="20"/>
      <c r="O281" s="20"/>
      <c r="P281" s="20"/>
      <c r="Q281" s="20"/>
      <c r="R281" s="20"/>
      <c r="AR281" s="25"/>
      <c r="AS281" s="25"/>
      <c r="AT281" s="41"/>
      <c r="AU281" s="21"/>
    </row>
    <row r="282" spans="8:47" ht="16" customHeight="1">
      <c r="H282" s="20"/>
      <c r="I282" s="20"/>
      <c r="J282" s="20"/>
      <c r="K282" s="20"/>
      <c r="L282" s="20"/>
      <c r="M282" s="20"/>
      <c r="N282" s="20"/>
      <c r="O282" s="20"/>
      <c r="P282" s="20"/>
      <c r="Q282" s="20"/>
      <c r="R282" s="20"/>
      <c r="AR282" s="25"/>
      <c r="AS282" s="25"/>
      <c r="AT282" s="41"/>
      <c r="AU282" s="21"/>
    </row>
    <row r="283" spans="8:47" ht="16" customHeight="1">
      <c r="H283" s="20"/>
      <c r="I283" s="20"/>
      <c r="J283" s="20"/>
      <c r="K283" s="20"/>
      <c r="L283" s="20"/>
      <c r="M283" s="20"/>
      <c r="N283" s="20"/>
      <c r="O283" s="20"/>
      <c r="P283" s="20"/>
      <c r="Q283" s="20"/>
      <c r="R283" s="20"/>
      <c r="AR283" s="25"/>
      <c r="AS283" s="25"/>
      <c r="AT283" s="41"/>
      <c r="AU283" s="21"/>
    </row>
    <row r="284" spans="8:47" ht="16" customHeight="1">
      <c r="H284" s="20"/>
      <c r="I284" s="20"/>
      <c r="J284" s="20"/>
      <c r="K284" s="20"/>
      <c r="L284" s="20"/>
      <c r="M284" s="20"/>
      <c r="N284" s="20"/>
      <c r="O284" s="20"/>
      <c r="P284" s="20"/>
      <c r="Q284" s="20"/>
      <c r="R284" s="20"/>
      <c r="AR284" s="25"/>
      <c r="AS284" s="25"/>
      <c r="AT284" s="41"/>
      <c r="AU284" s="21"/>
    </row>
    <row r="285" spans="8:47" ht="16" customHeight="1">
      <c r="H285" s="20"/>
      <c r="I285" s="20"/>
      <c r="J285" s="20"/>
      <c r="K285" s="20"/>
      <c r="L285" s="20"/>
      <c r="M285" s="20"/>
      <c r="N285" s="20"/>
      <c r="O285" s="20"/>
      <c r="P285" s="20"/>
      <c r="Q285" s="20"/>
      <c r="R285" s="20"/>
      <c r="AR285" s="25"/>
      <c r="AS285" s="25"/>
      <c r="AT285" s="41"/>
      <c r="AU285" s="21"/>
    </row>
    <row r="286" spans="8:47" ht="16" customHeight="1">
      <c r="H286" s="20"/>
      <c r="I286" s="20"/>
      <c r="J286" s="20"/>
      <c r="K286" s="20"/>
      <c r="L286" s="20"/>
      <c r="M286" s="20"/>
      <c r="N286" s="20"/>
      <c r="O286" s="20"/>
      <c r="P286" s="20"/>
      <c r="Q286" s="20"/>
      <c r="R286" s="20"/>
      <c r="AR286" s="25"/>
      <c r="AS286" s="25"/>
      <c r="AT286" s="41"/>
      <c r="AU286" s="21"/>
    </row>
    <row r="287" spans="8:47" ht="16" customHeight="1">
      <c r="H287" s="20"/>
      <c r="I287" s="20"/>
      <c r="J287" s="20"/>
      <c r="K287" s="20"/>
      <c r="L287" s="20"/>
      <c r="M287" s="20"/>
      <c r="N287" s="20"/>
      <c r="O287" s="20"/>
      <c r="P287" s="20"/>
      <c r="Q287" s="20"/>
      <c r="R287" s="20"/>
      <c r="AR287" s="25"/>
      <c r="AS287" s="25"/>
      <c r="AT287" s="41"/>
      <c r="AU287" s="21"/>
    </row>
    <row r="288" spans="8:47" ht="16" customHeight="1">
      <c r="H288" s="20"/>
      <c r="I288" s="20"/>
      <c r="J288" s="20"/>
      <c r="K288" s="20"/>
      <c r="L288" s="20"/>
      <c r="M288" s="20"/>
      <c r="N288" s="20"/>
      <c r="O288" s="20"/>
      <c r="P288" s="20"/>
      <c r="Q288" s="20"/>
      <c r="R288" s="20"/>
      <c r="AR288" s="25"/>
      <c r="AS288" s="25"/>
      <c r="AT288" s="41"/>
      <c r="AU288" s="21"/>
    </row>
    <row r="289" spans="8:47" ht="16" customHeight="1">
      <c r="H289" s="20"/>
      <c r="I289" s="20"/>
      <c r="J289" s="20"/>
      <c r="K289" s="20"/>
      <c r="L289" s="20"/>
      <c r="M289" s="20"/>
      <c r="N289" s="20"/>
      <c r="O289" s="20"/>
      <c r="P289" s="20"/>
      <c r="Q289" s="20"/>
      <c r="R289" s="20"/>
      <c r="AR289" s="25"/>
      <c r="AS289" s="25"/>
      <c r="AT289" s="41"/>
      <c r="AU289" s="21"/>
    </row>
    <row r="290" spans="8:47" ht="16" customHeight="1">
      <c r="H290" s="20"/>
      <c r="I290" s="20"/>
      <c r="J290" s="20"/>
      <c r="K290" s="20"/>
      <c r="L290" s="20"/>
      <c r="M290" s="20"/>
      <c r="N290" s="20"/>
      <c r="O290" s="20"/>
      <c r="P290" s="20"/>
      <c r="Q290" s="20"/>
      <c r="R290" s="20"/>
      <c r="AR290" s="25"/>
      <c r="AS290" s="25"/>
      <c r="AT290" s="41"/>
      <c r="AU290" s="21"/>
    </row>
    <row r="291" spans="8:47" ht="16" customHeight="1">
      <c r="H291" s="20"/>
      <c r="I291" s="20"/>
      <c r="J291" s="20"/>
      <c r="K291" s="20"/>
      <c r="L291" s="20"/>
      <c r="M291" s="20"/>
      <c r="N291" s="20"/>
      <c r="O291" s="20"/>
      <c r="P291" s="20"/>
      <c r="Q291" s="20"/>
      <c r="R291" s="20"/>
      <c r="AR291" s="25"/>
      <c r="AS291" s="25"/>
      <c r="AT291" s="41"/>
      <c r="AU291" s="21"/>
    </row>
    <row r="292" spans="8:47" ht="16" customHeight="1">
      <c r="H292" s="20"/>
      <c r="I292" s="20"/>
      <c r="J292" s="20"/>
      <c r="K292" s="20"/>
      <c r="L292" s="20"/>
      <c r="M292" s="20"/>
      <c r="N292" s="20"/>
      <c r="O292" s="20"/>
      <c r="P292" s="20"/>
      <c r="Q292" s="20"/>
      <c r="R292" s="20"/>
      <c r="AR292" s="25"/>
      <c r="AS292" s="25"/>
      <c r="AT292" s="41"/>
      <c r="AU292" s="21"/>
    </row>
    <row r="293" spans="8:47" ht="16" customHeight="1">
      <c r="H293" s="20"/>
      <c r="I293" s="20"/>
      <c r="J293" s="20"/>
      <c r="K293" s="20"/>
      <c r="L293" s="20"/>
      <c r="M293" s="20"/>
      <c r="N293" s="20"/>
      <c r="O293" s="20"/>
      <c r="P293" s="20"/>
      <c r="Q293" s="20"/>
      <c r="R293" s="20"/>
      <c r="AR293" s="25"/>
      <c r="AS293" s="25"/>
      <c r="AT293" s="41"/>
      <c r="AU293" s="21"/>
    </row>
    <row r="294" spans="8:47" ht="16" customHeight="1">
      <c r="H294" s="20"/>
      <c r="I294" s="20"/>
      <c r="J294" s="20"/>
      <c r="K294" s="20"/>
      <c r="L294" s="20"/>
      <c r="M294" s="20"/>
      <c r="N294" s="20"/>
      <c r="O294" s="20"/>
      <c r="P294" s="20"/>
      <c r="Q294" s="20"/>
      <c r="R294" s="20"/>
      <c r="AR294" s="25"/>
      <c r="AS294" s="25"/>
      <c r="AT294" s="41"/>
      <c r="AU294" s="21"/>
    </row>
    <row r="295" spans="8:47" ht="16" customHeight="1">
      <c r="H295" s="20"/>
      <c r="I295" s="20"/>
      <c r="J295" s="20"/>
      <c r="K295" s="20"/>
      <c r="L295" s="20"/>
      <c r="M295" s="20"/>
      <c r="N295" s="20"/>
      <c r="O295" s="20"/>
      <c r="P295" s="20"/>
      <c r="Q295" s="20"/>
      <c r="R295" s="20"/>
      <c r="AR295" s="25"/>
      <c r="AS295" s="25"/>
      <c r="AT295" s="41"/>
      <c r="AU295" s="21"/>
    </row>
    <row r="296" spans="8:47" ht="16" customHeight="1">
      <c r="H296" s="20"/>
      <c r="I296" s="20"/>
      <c r="J296" s="20"/>
      <c r="K296" s="20"/>
      <c r="L296" s="20"/>
      <c r="M296" s="20"/>
      <c r="N296" s="20"/>
      <c r="O296" s="20"/>
      <c r="P296" s="20"/>
      <c r="Q296" s="20"/>
      <c r="R296" s="20"/>
      <c r="AR296" s="25"/>
      <c r="AS296" s="25"/>
      <c r="AT296" s="41"/>
      <c r="AU296" s="21"/>
    </row>
    <row r="297" spans="8:47" ht="16" customHeight="1">
      <c r="H297" s="20"/>
      <c r="I297" s="20"/>
      <c r="J297" s="20"/>
      <c r="K297" s="20"/>
      <c r="L297" s="20"/>
      <c r="M297" s="20"/>
      <c r="N297" s="20"/>
      <c r="O297" s="20"/>
      <c r="P297" s="20"/>
      <c r="Q297" s="20"/>
      <c r="R297" s="20"/>
      <c r="AR297" s="25"/>
      <c r="AS297" s="25"/>
      <c r="AT297" s="41"/>
      <c r="AU297" s="21"/>
    </row>
    <row r="298" spans="8:47" ht="16" customHeight="1">
      <c r="H298" s="20"/>
      <c r="I298" s="20"/>
      <c r="J298" s="20"/>
      <c r="K298" s="20"/>
      <c r="L298" s="20"/>
      <c r="M298" s="20"/>
      <c r="N298" s="20"/>
      <c r="O298" s="20"/>
      <c r="P298" s="20"/>
      <c r="Q298" s="20"/>
      <c r="R298" s="20"/>
      <c r="AR298" s="25"/>
      <c r="AS298" s="25"/>
      <c r="AT298" s="41"/>
      <c r="AU298" s="21"/>
    </row>
    <row r="299" spans="8:47" ht="16" customHeight="1">
      <c r="H299" s="20"/>
      <c r="I299" s="20"/>
      <c r="J299" s="20"/>
      <c r="K299" s="20"/>
      <c r="L299" s="20"/>
      <c r="M299" s="20"/>
      <c r="N299" s="20"/>
      <c r="O299" s="20"/>
      <c r="P299" s="20"/>
      <c r="Q299" s="20"/>
      <c r="R299" s="20"/>
      <c r="AR299" s="25"/>
      <c r="AS299" s="25"/>
      <c r="AT299" s="41"/>
      <c r="AU299" s="21"/>
    </row>
    <row r="300" spans="8:47" ht="16" customHeight="1">
      <c r="H300" s="20"/>
      <c r="I300" s="20"/>
      <c r="J300" s="20"/>
      <c r="K300" s="20"/>
      <c r="L300" s="20"/>
      <c r="M300" s="20"/>
      <c r="N300" s="20"/>
      <c r="O300" s="20"/>
      <c r="P300" s="20"/>
      <c r="Q300" s="20"/>
      <c r="R300" s="20"/>
      <c r="AR300" s="25"/>
      <c r="AS300" s="25"/>
      <c r="AT300" s="41"/>
      <c r="AU300" s="21"/>
    </row>
    <row r="301" spans="8:47" ht="16" customHeight="1">
      <c r="H301" s="20"/>
      <c r="I301" s="20"/>
      <c r="J301" s="20"/>
      <c r="K301" s="20"/>
      <c r="L301" s="20"/>
      <c r="M301" s="20"/>
      <c r="N301" s="20"/>
      <c r="O301" s="20"/>
      <c r="P301" s="20"/>
      <c r="Q301" s="20"/>
      <c r="R301" s="20"/>
      <c r="AR301" s="25"/>
      <c r="AS301" s="25"/>
      <c r="AT301" s="41"/>
      <c r="AU301" s="21"/>
    </row>
    <row r="302" spans="8:47" ht="16" customHeight="1">
      <c r="H302" s="20"/>
      <c r="I302" s="20"/>
      <c r="J302" s="20"/>
      <c r="K302" s="20"/>
      <c r="L302" s="20"/>
      <c r="M302" s="20"/>
      <c r="N302" s="20"/>
      <c r="O302" s="20"/>
      <c r="P302" s="20"/>
      <c r="Q302" s="20"/>
      <c r="R302" s="20"/>
      <c r="AR302" s="25"/>
      <c r="AS302" s="25"/>
      <c r="AT302" s="41"/>
      <c r="AU302" s="21"/>
    </row>
    <row r="303" spans="8:47" ht="16" customHeight="1">
      <c r="H303" s="20"/>
      <c r="I303" s="20"/>
      <c r="J303" s="20"/>
      <c r="K303" s="20"/>
      <c r="L303" s="20"/>
      <c r="M303" s="20"/>
      <c r="N303" s="20"/>
      <c r="O303" s="20"/>
      <c r="P303" s="20"/>
      <c r="Q303" s="20"/>
      <c r="R303" s="20"/>
      <c r="AR303" s="25"/>
      <c r="AS303" s="25"/>
      <c r="AT303" s="41"/>
      <c r="AU303" s="21"/>
    </row>
    <row r="304" spans="8:47" ht="16" customHeight="1">
      <c r="H304" s="20"/>
      <c r="I304" s="20"/>
      <c r="J304" s="20"/>
      <c r="K304" s="20"/>
      <c r="L304" s="20"/>
      <c r="M304" s="20"/>
      <c r="N304" s="20"/>
      <c r="O304" s="20"/>
      <c r="P304" s="20"/>
      <c r="Q304" s="20"/>
      <c r="R304" s="20"/>
      <c r="AR304" s="25"/>
      <c r="AS304" s="25"/>
      <c r="AT304" s="41"/>
      <c r="AU304" s="21"/>
    </row>
    <row r="305" spans="8:47" ht="16" customHeight="1">
      <c r="H305" s="20"/>
      <c r="I305" s="20"/>
      <c r="J305" s="20"/>
      <c r="K305" s="20"/>
      <c r="L305" s="20"/>
      <c r="M305" s="20"/>
      <c r="N305" s="20"/>
      <c r="O305" s="20"/>
      <c r="P305" s="20"/>
      <c r="Q305" s="20"/>
      <c r="R305" s="20"/>
      <c r="AR305" s="25"/>
      <c r="AS305" s="25"/>
      <c r="AT305" s="41"/>
      <c r="AU305" s="21"/>
    </row>
    <row r="306" spans="8:47" ht="16" customHeight="1">
      <c r="H306" s="20"/>
      <c r="I306" s="20"/>
      <c r="J306" s="20"/>
      <c r="K306" s="20"/>
      <c r="L306" s="20"/>
      <c r="M306" s="20"/>
      <c r="N306" s="20"/>
      <c r="O306" s="20"/>
      <c r="P306" s="20"/>
      <c r="Q306" s="20"/>
      <c r="R306" s="20"/>
      <c r="AR306" s="25"/>
      <c r="AS306" s="25"/>
      <c r="AT306" s="41"/>
      <c r="AU306" s="21"/>
    </row>
    <row r="307" spans="8:47" ht="16" customHeight="1">
      <c r="H307" s="20"/>
      <c r="I307" s="20"/>
      <c r="J307" s="20"/>
      <c r="K307" s="20"/>
      <c r="L307" s="20"/>
      <c r="M307" s="20"/>
      <c r="N307" s="20"/>
      <c r="O307" s="20"/>
      <c r="P307" s="20"/>
      <c r="Q307" s="20"/>
      <c r="R307" s="20"/>
      <c r="AR307" s="25"/>
      <c r="AS307" s="25"/>
      <c r="AT307" s="41"/>
      <c r="AU307" s="21"/>
    </row>
    <row r="308" spans="8:47" ht="16" customHeight="1">
      <c r="H308" s="20"/>
      <c r="I308" s="20"/>
      <c r="J308" s="20"/>
      <c r="K308" s="20"/>
      <c r="L308" s="20"/>
      <c r="M308" s="20"/>
      <c r="N308" s="20"/>
      <c r="O308" s="20"/>
      <c r="P308" s="20"/>
      <c r="Q308" s="20"/>
      <c r="R308" s="20"/>
      <c r="AR308" s="25"/>
      <c r="AS308" s="25"/>
      <c r="AT308" s="41"/>
      <c r="AU308" s="21"/>
    </row>
    <row r="309" spans="8:47" ht="16" customHeight="1">
      <c r="H309" s="20"/>
      <c r="I309" s="20"/>
      <c r="J309" s="20"/>
      <c r="K309" s="20"/>
      <c r="L309" s="20"/>
      <c r="M309" s="20"/>
      <c r="N309" s="20"/>
      <c r="O309" s="20"/>
      <c r="P309" s="20"/>
      <c r="Q309" s="20"/>
      <c r="R309" s="20"/>
      <c r="AR309" s="25"/>
      <c r="AS309" s="25"/>
      <c r="AT309" s="41"/>
      <c r="AU309" s="21"/>
    </row>
    <row r="310" spans="8:47" ht="16" customHeight="1">
      <c r="H310" s="20"/>
      <c r="I310" s="20"/>
      <c r="J310" s="20"/>
      <c r="K310" s="20"/>
      <c r="L310" s="20"/>
      <c r="M310" s="20"/>
      <c r="N310" s="20"/>
      <c r="O310" s="20"/>
      <c r="P310" s="20"/>
      <c r="Q310" s="20"/>
      <c r="R310" s="20"/>
      <c r="AR310" s="25"/>
      <c r="AS310" s="25"/>
      <c r="AT310" s="41"/>
      <c r="AU310" s="21"/>
    </row>
    <row r="311" spans="8:47" ht="16" customHeight="1">
      <c r="H311" s="20"/>
      <c r="I311" s="20"/>
      <c r="J311" s="20"/>
      <c r="K311" s="20"/>
      <c r="L311" s="20"/>
      <c r="M311" s="20"/>
      <c r="N311" s="20"/>
      <c r="O311" s="20"/>
      <c r="P311" s="20"/>
      <c r="Q311" s="20"/>
      <c r="R311" s="20"/>
      <c r="AR311" s="25"/>
      <c r="AS311" s="25"/>
      <c r="AT311" s="41"/>
      <c r="AU311" s="21"/>
    </row>
    <row r="312" spans="8:47" ht="16" customHeight="1">
      <c r="H312" s="20"/>
      <c r="I312" s="20"/>
      <c r="J312" s="20"/>
      <c r="K312" s="20"/>
      <c r="L312" s="20"/>
      <c r="M312" s="20"/>
      <c r="N312" s="20"/>
      <c r="O312" s="20"/>
      <c r="P312" s="20"/>
      <c r="Q312" s="20"/>
      <c r="R312" s="20"/>
      <c r="AR312" s="25"/>
      <c r="AS312" s="25"/>
      <c r="AT312" s="41"/>
      <c r="AU312" s="21"/>
    </row>
    <row r="313" spans="8:47" ht="16" customHeight="1">
      <c r="H313" s="20"/>
      <c r="I313" s="20"/>
      <c r="J313" s="20"/>
      <c r="K313" s="20"/>
      <c r="L313" s="20"/>
      <c r="M313" s="20"/>
      <c r="N313" s="20"/>
      <c r="O313" s="20"/>
      <c r="P313" s="20"/>
      <c r="Q313" s="20"/>
      <c r="R313" s="20"/>
      <c r="AR313" s="25"/>
      <c r="AS313" s="25"/>
      <c r="AT313" s="41"/>
      <c r="AU313" s="21"/>
    </row>
    <row r="314" spans="8:47" ht="16" customHeight="1">
      <c r="H314" s="20"/>
      <c r="I314" s="20"/>
      <c r="J314" s="20"/>
      <c r="K314" s="20"/>
      <c r="L314" s="20"/>
      <c r="M314" s="20"/>
      <c r="N314" s="20"/>
      <c r="O314" s="20"/>
      <c r="P314" s="20"/>
      <c r="Q314" s="20"/>
      <c r="R314" s="20"/>
      <c r="AR314" s="25"/>
      <c r="AS314" s="25"/>
      <c r="AT314" s="41"/>
      <c r="AU314" s="21"/>
    </row>
    <row r="315" spans="8:47" ht="16" customHeight="1">
      <c r="H315" s="20"/>
      <c r="I315" s="20"/>
      <c r="J315" s="20"/>
      <c r="K315" s="20"/>
      <c r="L315" s="20"/>
      <c r="M315" s="20"/>
      <c r="N315" s="20"/>
      <c r="O315" s="20"/>
      <c r="P315" s="20"/>
      <c r="Q315" s="20"/>
      <c r="R315" s="20"/>
      <c r="AR315" s="25"/>
      <c r="AS315" s="25"/>
      <c r="AT315" s="41"/>
      <c r="AU315" s="21"/>
    </row>
    <row r="316" spans="8:47" ht="16" customHeight="1">
      <c r="H316" s="20"/>
      <c r="I316" s="20"/>
      <c r="J316" s="20"/>
      <c r="K316" s="20"/>
      <c r="L316" s="20"/>
      <c r="M316" s="20"/>
      <c r="N316" s="20"/>
      <c r="O316" s="20"/>
      <c r="P316" s="20"/>
      <c r="Q316" s="20"/>
      <c r="R316" s="20"/>
      <c r="AR316" s="25"/>
      <c r="AS316" s="25"/>
      <c r="AT316" s="41"/>
      <c r="AU316" s="21"/>
    </row>
    <row r="317" spans="8:47" ht="16" customHeight="1">
      <c r="H317" s="20"/>
      <c r="I317" s="20"/>
      <c r="J317" s="20"/>
      <c r="K317" s="20"/>
      <c r="L317" s="20"/>
      <c r="M317" s="20"/>
      <c r="N317" s="20"/>
      <c r="O317" s="20"/>
      <c r="P317" s="20"/>
      <c r="Q317" s="20"/>
      <c r="R317" s="20"/>
      <c r="AR317" s="25"/>
      <c r="AS317" s="25"/>
      <c r="AT317" s="41"/>
      <c r="AU317" s="21"/>
    </row>
    <row r="318" spans="8:47" ht="16" customHeight="1">
      <c r="H318" s="20"/>
      <c r="I318" s="20"/>
      <c r="J318" s="20"/>
      <c r="K318" s="20"/>
      <c r="L318" s="20"/>
      <c r="M318" s="20"/>
      <c r="N318" s="20"/>
      <c r="O318" s="20"/>
      <c r="P318" s="20"/>
      <c r="Q318" s="20"/>
      <c r="R318" s="20"/>
      <c r="AR318" s="25"/>
      <c r="AS318" s="25"/>
      <c r="AT318" s="41"/>
      <c r="AU318" s="21"/>
    </row>
    <row r="319" spans="8:47" ht="16" customHeight="1">
      <c r="H319" s="20"/>
      <c r="I319" s="20"/>
      <c r="J319" s="20"/>
      <c r="K319" s="20"/>
      <c r="L319" s="20"/>
      <c r="M319" s="20"/>
      <c r="N319" s="20"/>
      <c r="O319" s="20"/>
      <c r="P319" s="20"/>
      <c r="Q319" s="20"/>
      <c r="R319" s="20"/>
      <c r="AR319" s="25"/>
      <c r="AS319" s="25"/>
      <c r="AT319" s="41"/>
      <c r="AU319" s="21"/>
    </row>
    <row r="320" spans="8:47" ht="16" customHeight="1">
      <c r="H320" s="20"/>
      <c r="I320" s="20"/>
      <c r="J320" s="20"/>
      <c r="K320" s="20"/>
      <c r="L320" s="20"/>
      <c r="M320" s="20"/>
      <c r="N320" s="20"/>
      <c r="O320" s="20"/>
      <c r="P320" s="20"/>
      <c r="Q320" s="20"/>
      <c r="R320" s="20"/>
      <c r="AR320" s="25"/>
      <c r="AS320" s="25"/>
      <c r="AT320" s="41"/>
      <c r="AU320" s="21"/>
    </row>
    <row r="321" spans="8:47" ht="16" customHeight="1">
      <c r="H321" s="20"/>
      <c r="I321" s="20"/>
      <c r="J321" s="20"/>
      <c r="K321" s="20"/>
      <c r="L321" s="20"/>
      <c r="M321" s="20"/>
      <c r="N321" s="20"/>
      <c r="O321" s="20"/>
      <c r="P321" s="20"/>
      <c r="Q321" s="20"/>
      <c r="R321" s="20"/>
      <c r="AR321" s="25"/>
      <c r="AS321" s="25"/>
      <c r="AT321" s="41"/>
      <c r="AU321" s="21"/>
    </row>
    <row r="322" spans="8:47" ht="16" customHeight="1">
      <c r="H322" s="20"/>
      <c r="I322" s="20"/>
      <c r="J322" s="20"/>
      <c r="K322" s="20"/>
      <c r="L322" s="20"/>
      <c r="M322" s="20"/>
      <c r="N322" s="20"/>
      <c r="O322" s="20"/>
      <c r="P322" s="20"/>
      <c r="Q322" s="20"/>
      <c r="R322" s="20"/>
      <c r="AR322" s="25"/>
      <c r="AS322" s="25"/>
      <c r="AT322" s="41"/>
      <c r="AU322" s="21"/>
    </row>
    <row r="323" spans="8:47" ht="16" customHeight="1">
      <c r="H323" s="20"/>
      <c r="I323" s="20"/>
      <c r="J323" s="20"/>
      <c r="K323" s="20"/>
      <c r="L323" s="20"/>
      <c r="M323" s="20"/>
      <c r="N323" s="20"/>
      <c r="O323" s="20"/>
      <c r="P323" s="20"/>
      <c r="Q323" s="20"/>
      <c r="R323" s="20"/>
      <c r="AR323" s="25"/>
      <c r="AS323" s="25"/>
      <c r="AT323" s="41"/>
      <c r="AU323" s="21"/>
    </row>
    <row r="324" spans="8:47" ht="16" customHeight="1">
      <c r="H324" s="20"/>
      <c r="I324" s="20"/>
      <c r="J324" s="20"/>
      <c r="K324" s="20"/>
      <c r="L324" s="20"/>
      <c r="M324" s="20"/>
      <c r="N324" s="20"/>
      <c r="O324" s="20"/>
      <c r="P324" s="20"/>
      <c r="Q324" s="20"/>
      <c r="R324" s="20"/>
      <c r="AR324" s="25"/>
      <c r="AS324" s="25"/>
      <c r="AT324" s="41"/>
      <c r="AU324" s="21"/>
    </row>
    <row r="325" spans="8:47" ht="16" customHeight="1">
      <c r="H325" s="20"/>
      <c r="I325" s="20"/>
      <c r="J325" s="20"/>
      <c r="K325" s="20"/>
      <c r="L325" s="20"/>
      <c r="M325" s="20"/>
      <c r="N325" s="20"/>
      <c r="O325" s="20"/>
      <c r="P325" s="20"/>
      <c r="Q325" s="20"/>
      <c r="R325" s="20"/>
      <c r="AR325" s="25"/>
      <c r="AS325" s="25"/>
      <c r="AT325" s="41"/>
      <c r="AU325" s="21"/>
    </row>
    <row r="326" spans="8:47" ht="16" customHeight="1">
      <c r="H326" s="20"/>
      <c r="I326" s="20"/>
      <c r="J326" s="20"/>
      <c r="K326" s="20"/>
      <c r="L326" s="20"/>
      <c r="M326" s="20"/>
      <c r="N326" s="20"/>
      <c r="O326" s="20"/>
      <c r="P326" s="20"/>
      <c r="Q326" s="20"/>
      <c r="R326" s="20"/>
      <c r="AR326" s="25"/>
      <c r="AS326" s="25"/>
      <c r="AT326" s="41"/>
      <c r="AU326" s="21"/>
    </row>
    <row r="327" spans="8:47" ht="16" customHeight="1">
      <c r="H327" s="20"/>
      <c r="I327" s="20"/>
      <c r="J327" s="20"/>
      <c r="K327" s="20"/>
      <c r="L327" s="20"/>
      <c r="M327" s="20"/>
      <c r="N327" s="20"/>
      <c r="O327" s="20"/>
      <c r="P327" s="20"/>
      <c r="Q327" s="20"/>
      <c r="R327" s="20"/>
      <c r="AR327" s="25"/>
      <c r="AS327" s="25"/>
      <c r="AT327" s="41"/>
      <c r="AU327" s="21"/>
    </row>
    <row r="328" spans="8:47" ht="16" customHeight="1">
      <c r="H328" s="20"/>
      <c r="I328" s="20"/>
      <c r="J328" s="20"/>
      <c r="K328" s="20"/>
      <c r="L328" s="20"/>
      <c r="M328" s="20"/>
      <c r="N328" s="20"/>
      <c r="O328" s="20"/>
      <c r="P328" s="20"/>
      <c r="Q328" s="20"/>
      <c r="R328" s="20"/>
      <c r="AR328" s="25"/>
      <c r="AS328" s="25"/>
      <c r="AT328" s="41"/>
      <c r="AU328" s="21"/>
    </row>
    <row r="329" spans="8:47" ht="16" customHeight="1">
      <c r="H329" s="20"/>
      <c r="I329" s="20"/>
      <c r="J329" s="20"/>
      <c r="K329" s="20"/>
      <c r="L329" s="20"/>
      <c r="M329" s="20"/>
      <c r="N329" s="20"/>
      <c r="O329" s="20"/>
      <c r="P329" s="20"/>
      <c r="Q329" s="20"/>
      <c r="R329" s="20"/>
      <c r="AR329" s="25"/>
      <c r="AS329" s="25"/>
      <c r="AT329" s="41"/>
      <c r="AU329" s="21"/>
    </row>
    <row r="330" spans="8:47" ht="16" customHeight="1">
      <c r="H330" s="20"/>
      <c r="I330" s="20"/>
      <c r="J330" s="20"/>
      <c r="K330" s="20"/>
      <c r="L330" s="20"/>
      <c r="M330" s="20"/>
      <c r="N330" s="20"/>
      <c r="O330" s="20"/>
      <c r="P330" s="20"/>
      <c r="Q330" s="20"/>
      <c r="R330" s="20"/>
      <c r="AR330" s="25"/>
      <c r="AS330" s="25"/>
      <c r="AT330" s="41"/>
      <c r="AU330" s="21"/>
    </row>
    <row r="331" spans="8:47" ht="16" customHeight="1">
      <c r="H331" s="20"/>
      <c r="I331" s="20"/>
      <c r="J331" s="20"/>
      <c r="K331" s="20"/>
      <c r="L331" s="20"/>
      <c r="M331" s="20"/>
      <c r="N331" s="20"/>
      <c r="O331" s="20"/>
      <c r="P331" s="20"/>
      <c r="Q331" s="20"/>
      <c r="R331" s="20"/>
      <c r="AR331" s="25"/>
      <c r="AS331" s="25"/>
      <c r="AT331" s="41"/>
      <c r="AU331" s="21"/>
    </row>
    <row r="332" spans="8:47" ht="16" customHeight="1">
      <c r="H332" s="20"/>
      <c r="I332" s="20"/>
      <c r="J332" s="20"/>
      <c r="K332" s="20"/>
      <c r="L332" s="20"/>
      <c r="M332" s="20"/>
      <c r="N332" s="20"/>
      <c r="O332" s="20"/>
      <c r="P332" s="20"/>
      <c r="Q332" s="20"/>
      <c r="R332" s="20"/>
      <c r="AR332" s="25"/>
      <c r="AS332" s="25"/>
      <c r="AT332" s="41"/>
      <c r="AU332" s="21"/>
    </row>
    <row r="333" spans="8:47" ht="16" customHeight="1">
      <c r="H333" s="20"/>
      <c r="I333" s="20"/>
      <c r="J333" s="20"/>
      <c r="K333" s="20"/>
      <c r="L333" s="20"/>
      <c r="M333" s="20"/>
      <c r="N333" s="20"/>
      <c r="O333" s="20"/>
      <c r="P333" s="20"/>
      <c r="Q333" s="20"/>
      <c r="R333" s="20"/>
      <c r="AR333" s="25"/>
      <c r="AS333" s="25"/>
      <c r="AT333" s="41"/>
      <c r="AU333" s="21"/>
    </row>
    <row r="334" spans="8:47" ht="16" customHeight="1">
      <c r="H334" s="20"/>
      <c r="I334" s="20"/>
      <c r="J334" s="20"/>
      <c r="K334" s="20"/>
      <c r="L334" s="20"/>
      <c r="M334" s="20"/>
      <c r="N334" s="20"/>
      <c r="O334" s="20"/>
      <c r="P334" s="20"/>
      <c r="Q334" s="20"/>
      <c r="R334" s="20"/>
      <c r="AR334" s="25"/>
      <c r="AS334" s="25"/>
      <c r="AT334" s="41"/>
      <c r="AU334" s="21"/>
    </row>
    <row r="335" spans="8:47" ht="16" customHeight="1">
      <c r="H335" s="20"/>
      <c r="I335" s="20"/>
      <c r="J335" s="20"/>
      <c r="K335" s="20"/>
      <c r="L335" s="20"/>
      <c r="M335" s="20"/>
      <c r="N335" s="20"/>
      <c r="O335" s="20"/>
      <c r="P335" s="20"/>
      <c r="Q335" s="20"/>
      <c r="R335" s="20"/>
      <c r="AR335" s="25"/>
      <c r="AS335" s="25"/>
      <c r="AT335" s="41"/>
      <c r="AU335" s="21"/>
    </row>
    <row r="336" spans="8:47" ht="16" customHeight="1">
      <c r="H336" s="20"/>
      <c r="I336" s="20"/>
      <c r="J336" s="20"/>
      <c r="K336" s="20"/>
      <c r="L336" s="20"/>
      <c r="M336" s="20"/>
      <c r="N336" s="20"/>
      <c r="O336" s="20"/>
      <c r="P336" s="20"/>
      <c r="Q336" s="20"/>
      <c r="R336" s="20"/>
      <c r="AR336" s="25"/>
      <c r="AS336" s="25"/>
      <c r="AT336" s="41"/>
      <c r="AU336" s="21"/>
    </row>
    <row r="337" spans="8:47" ht="16" customHeight="1">
      <c r="H337" s="20"/>
      <c r="I337" s="20"/>
      <c r="J337" s="20"/>
      <c r="K337" s="20"/>
      <c r="L337" s="20"/>
      <c r="M337" s="20"/>
      <c r="N337" s="20"/>
      <c r="O337" s="20"/>
      <c r="P337" s="20"/>
      <c r="Q337" s="20"/>
      <c r="R337" s="20"/>
      <c r="AR337" s="25"/>
      <c r="AS337" s="25"/>
      <c r="AT337" s="41"/>
      <c r="AU337" s="21"/>
    </row>
    <row r="338" spans="8:47" ht="16" customHeight="1">
      <c r="H338" s="20"/>
      <c r="I338" s="20"/>
      <c r="J338" s="20"/>
      <c r="K338" s="20"/>
      <c r="L338" s="20"/>
      <c r="M338" s="20"/>
      <c r="N338" s="20"/>
      <c r="O338" s="20"/>
      <c r="P338" s="20"/>
      <c r="Q338" s="20"/>
      <c r="R338" s="20"/>
      <c r="AR338" s="25"/>
      <c r="AS338" s="25"/>
      <c r="AT338" s="41"/>
      <c r="AU338" s="21"/>
    </row>
    <row r="339" spans="8:47" ht="16" customHeight="1">
      <c r="H339" s="20"/>
      <c r="I339" s="20"/>
      <c r="J339" s="20"/>
      <c r="K339" s="20"/>
      <c r="L339" s="20"/>
      <c r="M339" s="20"/>
      <c r="N339" s="20"/>
      <c r="O339" s="20"/>
      <c r="P339" s="20"/>
      <c r="Q339" s="20"/>
      <c r="R339" s="20"/>
      <c r="AR339" s="25"/>
      <c r="AS339" s="25"/>
      <c r="AT339" s="41"/>
      <c r="AU339" s="21"/>
    </row>
    <row r="340" spans="8:47" ht="16" customHeight="1">
      <c r="H340" s="20"/>
      <c r="I340" s="20"/>
      <c r="J340" s="20"/>
      <c r="K340" s="20"/>
      <c r="L340" s="20"/>
      <c r="M340" s="20"/>
      <c r="N340" s="20"/>
      <c r="O340" s="20"/>
      <c r="P340" s="20"/>
      <c r="Q340" s="20"/>
      <c r="R340" s="20"/>
      <c r="AR340" s="25"/>
      <c r="AS340" s="25"/>
      <c r="AT340" s="41"/>
      <c r="AU340" s="21"/>
    </row>
    <row r="341" spans="8:47" ht="16" customHeight="1">
      <c r="H341" s="20"/>
      <c r="I341" s="20"/>
      <c r="J341" s="20"/>
      <c r="K341" s="20"/>
      <c r="L341" s="20"/>
      <c r="M341" s="20"/>
      <c r="N341" s="20"/>
      <c r="O341" s="20"/>
      <c r="P341" s="20"/>
      <c r="Q341" s="20"/>
      <c r="R341" s="20"/>
      <c r="AR341" s="25"/>
      <c r="AS341" s="25"/>
      <c r="AT341" s="41"/>
      <c r="AU341" s="21"/>
    </row>
    <row r="342" spans="8:47" ht="16" customHeight="1">
      <c r="H342" s="20"/>
      <c r="I342" s="20"/>
      <c r="J342" s="20"/>
      <c r="K342" s="20"/>
      <c r="L342" s="20"/>
      <c r="M342" s="20"/>
      <c r="N342" s="20"/>
      <c r="O342" s="20"/>
      <c r="P342" s="20"/>
      <c r="Q342" s="20"/>
      <c r="R342" s="20"/>
      <c r="AR342" s="25"/>
      <c r="AS342" s="25"/>
      <c r="AT342" s="41"/>
      <c r="AU342" s="21"/>
    </row>
    <row r="343" spans="8:47" ht="16" customHeight="1">
      <c r="H343" s="20"/>
      <c r="I343" s="20"/>
      <c r="J343" s="20"/>
      <c r="K343" s="20"/>
      <c r="L343" s="20"/>
      <c r="M343" s="20"/>
      <c r="N343" s="20"/>
      <c r="O343" s="20"/>
      <c r="P343" s="20"/>
      <c r="Q343" s="20"/>
      <c r="R343" s="20"/>
      <c r="AR343" s="25"/>
      <c r="AS343" s="25"/>
      <c r="AT343" s="41"/>
      <c r="AU343" s="21"/>
    </row>
    <row r="344" spans="8:47" ht="16" customHeight="1">
      <c r="H344" s="20"/>
      <c r="I344" s="20"/>
      <c r="J344" s="20"/>
      <c r="K344" s="20"/>
      <c r="L344" s="20"/>
      <c r="M344" s="20"/>
      <c r="N344" s="20"/>
      <c r="O344" s="20"/>
      <c r="P344" s="20"/>
      <c r="Q344" s="20"/>
      <c r="R344" s="20"/>
      <c r="AR344" s="25"/>
      <c r="AS344" s="25"/>
      <c r="AT344" s="41"/>
      <c r="AU344" s="21"/>
    </row>
    <row r="345" spans="8:47" ht="16" customHeight="1">
      <c r="H345" s="20"/>
      <c r="I345" s="20"/>
      <c r="J345" s="20"/>
      <c r="K345" s="20"/>
      <c r="L345" s="20"/>
      <c r="M345" s="20"/>
      <c r="N345" s="20"/>
      <c r="O345" s="20"/>
      <c r="P345" s="20"/>
      <c r="Q345" s="20"/>
      <c r="R345" s="20"/>
      <c r="AR345" s="25"/>
      <c r="AS345" s="25"/>
      <c r="AT345" s="41"/>
      <c r="AU345" s="21"/>
    </row>
    <row r="346" spans="8:47" ht="16" customHeight="1">
      <c r="H346" s="20"/>
      <c r="I346" s="20"/>
      <c r="J346" s="20"/>
      <c r="K346" s="20"/>
      <c r="L346" s="20"/>
      <c r="M346" s="20"/>
      <c r="N346" s="20"/>
      <c r="O346" s="20"/>
      <c r="P346" s="20"/>
      <c r="Q346" s="20"/>
      <c r="R346" s="20"/>
      <c r="AR346" s="25"/>
      <c r="AS346" s="25"/>
      <c r="AT346" s="41"/>
      <c r="AU346" s="21"/>
    </row>
    <row r="347" spans="8:47" ht="16" customHeight="1">
      <c r="H347" s="20"/>
      <c r="I347" s="20"/>
      <c r="J347" s="20"/>
      <c r="K347" s="20"/>
      <c r="L347" s="20"/>
      <c r="M347" s="20"/>
      <c r="N347" s="20"/>
      <c r="O347" s="20"/>
      <c r="P347" s="20"/>
      <c r="Q347" s="20"/>
      <c r="R347" s="20"/>
      <c r="AR347" s="25"/>
      <c r="AS347" s="25"/>
      <c r="AT347" s="41"/>
      <c r="AU347" s="21"/>
    </row>
    <row r="348" spans="8:47" ht="16" customHeight="1">
      <c r="H348" s="20"/>
      <c r="I348" s="20"/>
      <c r="J348" s="20"/>
      <c r="K348" s="20"/>
      <c r="L348" s="20"/>
      <c r="M348" s="20"/>
      <c r="N348" s="20"/>
      <c r="O348" s="20"/>
      <c r="P348" s="20"/>
      <c r="Q348" s="20"/>
      <c r="R348" s="20"/>
      <c r="AR348" s="25"/>
      <c r="AS348" s="25"/>
      <c r="AT348" s="41"/>
      <c r="AU348" s="21"/>
    </row>
    <row r="349" spans="8:47" ht="16" customHeight="1">
      <c r="H349" s="20"/>
      <c r="I349" s="20"/>
      <c r="J349" s="20"/>
      <c r="K349" s="20"/>
      <c r="L349" s="20"/>
      <c r="M349" s="20"/>
      <c r="N349" s="20"/>
      <c r="O349" s="20"/>
      <c r="P349" s="20"/>
      <c r="Q349" s="20"/>
      <c r="R349" s="20"/>
      <c r="AR349" s="25"/>
      <c r="AS349" s="25"/>
      <c r="AT349" s="41"/>
      <c r="AU349" s="21"/>
    </row>
    <row r="350" spans="8:47" ht="16" customHeight="1">
      <c r="H350" s="20"/>
      <c r="I350" s="20"/>
      <c r="J350" s="20"/>
      <c r="K350" s="20"/>
      <c r="L350" s="20"/>
      <c r="M350" s="20"/>
      <c r="N350" s="20"/>
      <c r="O350" s="20"/>
      <c r="P350" s="20"/>
      <c r="Q350" s="20"/>
      <c r="R350" s="20"/>
      <c r="AR350" s="25"/>
      <c r="AS350" s="25"/>
      <c r="AT350" s="41"/>
      <c r="AU350" s="21"/>
    </row>
    <row r="351" spans="8:47" ht="16" customHeight="1">
      <c r="H351" s="20"/>
      <c r="I351" s="20"/>
      <c r="J351" s="20"/>
      <c r="K351" s="20"/>
      <c r="L351" s="20"/>
      <c r="M351" s="20"/>
      <c r="N351" s="20"/>
      <c r="O351" s="20"/>
      <c r="P351" s="20"/>
      <c r="Q351" s="20"/>
      <c r="R351" s="20"/>
      <c r="AR351" s="25"/>
      <c r="AS351" s="25"/>
      <c r="AT351" s="41"/>
      <c r="AU351" s="21"/>
    </row>
    <row r="352" spans="8:47" ht="16" customHeight="1">
      <c r="H352" s="20"/>
      <c r="I352" s="20"/>
      <c r="J352" s="20"/>
      <c r="K352" s="20"/>
      <c r="L352" s="20"/>
      <c r="M352" s="20"/>
      <c r="N352" s="20"/>
      <c r="O352" s="20"/>
      <c r="P352" s="20"/>
      <c r="Q352" s="20"/>
      <c r="R352" s="20"/>
      <c r="AR352" s="25"/>
      <c r="AS352" s="25"/>
      <c r="AT352" s="41"/>
      <c r="AU352" s="21"/>
    </row>
    <row r="353" spans="8:47" ht="16" customHeight="1">
      <c r="H353" s="20"/>
      <c r="I353" s="20"/>
      <c r="J353" s="20"/>
      <c r="K353" s="20"/>
      <c r="L353" s="20"/>
      <c r="M353" s="20"/>
      <c r="N353" s="20"/>
      <c r="O353" s="20"/>
      <c r="P353" s="20"/>
      <c r="Q353" s="20"/>
      <c r="R353" s="20"/>
      <c r="AR353" s="25"/>
      <c r="AS353" s="25"/>
      <c r="AT353" s="41"/>
      <c r="AU353" s="21"/>
    </row>
    <row r="354" spans="8:47" ht="16" customHeight="1">
      <c r="H354" s="20"/>
      <c r="I354" s="20"/>
      <c r="J354" s="20"/>
      <c r="K354" s="20"/>
      <c r="L354" s="20"/>
      <c r="M354" s="20"/>
      <c r="N354" s="20"/>
      <c r="O354" s="20"/>
      <c r="P354" s="20"/>
      <c r="Q354" s="20"/>
      <c r="R354" s="20"/>
      <c r="AR354" s="25"/>
      <c r="AS354" s="25"/>
      <c r="AT354" s="41"/>
      <c r="AU354" s="21"/>
    </row>
    <row r="355" spans="8:47" ht="16" customHeight="1">
      <c r="H355" s="20"/>
      <c r="I355" s="20"/>
      <c r="J355" s="20"/>
      <c r="K355" s="20"/>
      <c r="L355" s="20"/>
      <c r="M355" s="20"/>
      <c r="N355" s="20"/>
      <c r="O355" s="20"/>
      <c r="P355" s="20"/>
      <c r="Q355" s="20"/>
      <c r="R355" s="20"/>
      <c r="AR355" s="25"/>
      <c r="AS355" s="25"/>
      <c r="AT355" s="41"/>
      <c r="AU355" s="21"/>
    </row>
    <row r="356" spans="8:47" ht="16" customHeight="1">
      <c r="H356" s="20"/>
      <c r="I356" s="20"/>
      <c r="J356" s="20"/>
      <c r="K356" s="20"/>
      <c r="L356" s="20"/>
      <c r="M356" s="20"/>
      <c r="N356" s="20"/>
      <c r="O356" s="20"/>
      <c r="P356" s="20"/>
      <c r="Q356" s="20"/>
      <c r="R356" s="20"/>
      <c r="AR356" s="25"/>
      <c r="AS356" s="25"/>
      <c r="AT356" s="41"/>
      <c r="AU356" s="21"/>
    </row>
    <row r="357" spans="8:47" ht="16" customHeight="1">
      <c r="H357" s="20"/>
      <c r="I357" s="20"/>
      <c r="J357" s="20"/>
      <c r="K357" s="20"/>
      <c r="L357" s="20"/>
      <c r="M357" s="20"/>
      <c r="N357" s="20"/>
      <c r="O357" s="20"/>
      <c r="P357" s="20"/>
      <c r="Q357" s="20"/>
      <c r="R357" s="20"/>
      <c r="AR357" s="25"/>
      <c r="AS357" s="25"/>
      <c r="AT357" s="41"/>
      <c r="AU357" s="21"/>
    </row>
    <row r="358" spans="8:47" ht="16" customHeight="1">
      <c r="H358" s="20"/>
      <c r="I358" s="20"/>
      <c r="J358" s="20"/>
      <c r="K358" s="20"/>
      <c r="L358" s="20"/>
      <c r="M358" s="20"/>
      <c r="N358" s="20"/>
      <c r="O358" s="20"/>
      <c r="P358" s="20"/>
      <c r="Q358" s="20"/>
      <c r="R358" s="20"/>
      <c r="AR358" s="25"/>
      <c r="AS358" s="25"/>
      <c r="AT358" s="41"/>
      <c r="AU358" s="21"/>
    </row>
    <row r="359" spans="8:47" ht="16" customHeight="1">
      <c r="H359" s="20"/>
      <c r="I359" s="20"/>
      <c r="J359" s="20"/>
      <c r="K359" s="20"/>
      <c r="L359" s="20"/>
      <c r="M359" s="20"/>
      <c r="N359" s="20"/>
      <c r="O359" s="20"/>
      <c r="P359" s="20"/>
      <c r="Q359" s="20"/>
      <c r="R359" s="20"/>
      <c r="AR359" s="25"/>
      <c r="AS359" s="25"/>
      <c r="AT359" s="41"/>
      <c r="AU359" s="21"/>
    </row>
    <row r="360" spans="8:47" ht="16" customHeight="1">
      <c r="H360" s="20"/>
      <c r="I360" s="20"/>
      <c r="J360" s="20"/>
      <c r="K360" s="20"/>
      <c r="L360" s="20"/>
      <c r="M360" s="20"/>
      <c r="N360" s="20"/>
      <c r="O360" s="20"/>
      <c r="P360" s="20"/>
      <c r="Q360" s="20"/>
      <c r="R360" s="20"/>
      <c r="AR360" s="25"/>
      <c r="AS360" s="25"/>
      <c r="AT360" s="41"/>
      <c r="AU360" s="21"/>
    </row>
    <row r="361" spans="8:47" ht="16" customHeight="1">
      <c r="H361" s="20"/>
      <c r="I361" s="20"/>
      <c r="J361" s="20"/>
      <c r="K361" s="20"/>
      <c r="L361" s="20"/>
      <c r="M361" s="20"/>
      <c r="N361" s="20"/>
      <c r="O361" s="20"/>
      <c r="P361" s="20"/>
      <c r="Q361" s="20"/>
      <c r="R361" s="20"/>
      <c r="AR361" s="25"/>
      <c r="AS361" s="25"/>
      <c r="AT361" s="41"/>
      <c r="AU361" s="21"/>
    </row>
    <row r="362" spans="8:47" ht="16" customHeight="1">
      <c r="H362" s="20"/>
      <c r="I362" s="20"/>
      <c r="J362" s="20"/>
      <c r="K362" s="20"/>
      <c r="L362" s="20"/>
      <c r="M362" s="20"/>
      <c r="N362" s="20"/>
      <c r="O362" s="20"/>
      <c r="P362" s="20"/>
      <c r="Q362" s="20"/>
      <c r="R362" s="20"/>
      <c r="AR362" s="25"/>
      <c r="AS362" s="25"/>
      <c r="AT362" s="41"/>
      <c r="AU362" s="21"/>
    </row>
    <row r="363" spans="8:47" ht="16" customHeight="1">
      <c r="H363" s="20"/>
      <c r="I363" s="20"/>
      <c r="J363" s="20"/>
      <c r="K363" s="20"/>
      <c r="L363" s="20"/>
      <c r="M363" s="20"/>
      <c r="N363" s="20"/>
      <c r="O363" s="20"/>
      <c r="P363" s="20"/>
      <c r="Q363" s="20"/>
      <c r="R363" s="20"/>
      <c r="AR363" s="25"/>
      <c r="AS363" s="25"/>
      <c r="AT363" s="41"/>
      <c r="AU363" s="21"/>
    </row>
    <row r="364" spans="8:47" ht="16" customHeight="1">
      <c r="H364" s="20"/>
      <c r="I364" s="20"/>
      <c r="J364" s="20"/>
      <c r="K364" s="20"/>
      <c r="L364" s="20"/>
      <c r="M364" s="20"/>
      <c r="N364" s="20"/>
      <c r="O364" s="20"/>
      <c r="P364" s="20"/>
      <c r="Q364" s="20"/>
      <c r="R364" s="20"/>
      <c r="AR364" s="25"/>
      <c r="AS364" s="25"/>
      <c r="AT364" s="41"/>
      <c r="AU364" s="21"/>
    </row>
    <row r="365" spans="8:47" ht="16" customHeight="1">
      <c r="H365" s="20"/>
      <c r="I365" s="20"/>
      <c r="J365" s="20"/>
      <c r="K365" s="20"/>
      <c r="L365" s="20"/>
      <c r="M365" s="20"/>
      <c r="N365" s="20"/>
      <c r="O365" s="20"/>
      <c r="P365" s="20"/>
      <c r="Q365" s="20"/>
      <c r="R365" s="20"/>
      <c r="AR365" s="25"/>
      <c r="AS365" s="25"/>
      <c r="AT365" s="41"/>
      <c r="AU365" s="21"/>
    </row>
    <row r="366" spans="8:47" ht="16" customHeight="1">
      <c r="H366" s="20"/>
      <c r="I366" s="20"/>
      <c r="J366" s="20"/>
      <c r="K366" s="20"/>
      <c r="L366" s="20"/>
      <c r="M366" s="20"/>
      <c r="N366" s="20"/>
      <c r="O366" s="20"/>
      <c r="P366" s="20"/>
      <c r="Q366" s="20"/>
      <c r="R366" s="20"/>
      <c r="AR366" s="25"/>
      <c r="AS366" s="25"/>
      <c r="AT366" s="41"/>
      <c r="AU366" s="21"/>
    </row>
    <row r="367" spans="8:47" ht="16" customHeight="1">
      <c r="H367" s="20"/>
      <c r="I367" s="20"/>
      <c r="J367" s="20"/>
      <c r="K367" s="20"/>
      <c r="L367" s="20"/>
      <c r="M367" s="20"/>
      <c r="N367" s="20"/>
      <c r="O367" s="20"/>
      <c r="P367" s="20"/>
      <c r="Q367" s="20"/>
      <c r="R367" s="20"/>
      <c r="AR367" s="25"/>
      <c r="AS367" s="25"/>
      <c r="AT367" s="41"/>
      <c r="AU367" s="21"/>
    </row>
    <row r="368" spans="8:47" ht="16" customHeight="1">
      <c r="H368" s="20"/>
      <c r="I368" s="20"/>
      <c r="J368" s="20"/>
      <c r="K368" s="20"/>
      <c r="L368" s="20"/>
      <c r="M368" s="20"/>
      <c r="N368" s="20"/>
      <c r="O368" s="20"/>
      <c r="P368" s="20"/>
      <c r="Q368" s="20"/>
      <c r="R368" s="20"/>
      <c r="AR368" s="25"/>
      <c r="AS368" s="25"/>
      <c r="AT368" s="41"/>
      <c r="AU368" s="21"/>
    </row>
    <row r="369" spans="8:47" ht="16" customHeight="1">
      <c r="H369" s="20"/>
      <c r="I369" s="20"/>
      <c r="J369" s="20"/>
      <c r="K369" s="20"/>
      <c r="L369" s="20"/>
      <c r="M369" s="20"/>
      <c r="N369" s="20"/>
      <c r="O369" s="20"/>
      <c r="P369" s="20"/>
      <c r="Q369" s="20"/>
      <c r="R369" s="20"/>
      <c r="AR369" s="25"/>
      <c r="AS369" s="25"/>
      <c r="AT369" s="41"/>
      <c r="AU369" s="21"/>
    </row>
    <row r="370" spans="8:47" ht="16" customHeight="1">
      <c r="H370" s="20"/>
      <c r="I370" s="20"/>
      <c r="J370" s="20"/>
      <c r="K370" s="20"/>
      <c r="L370" s="20"/>
      <c r="M370" s="20"/>
      <c r="N370" s="20"/>
      <c r="O370" s="20"/>
      <c r="P370" s="20"/>
      <c r="Q370" s="20"/>
      <c r="R370" s="20"/>
      <c r="AR370" s="25"/>
      <c r="AS370" s="25"/>
      <c r="AT370" s="41"/>
      <c r="AU370" s="21"/>
    </row>
    <row r="371" spans="8:47" ht="16" customHeight="1">
      <c r="H371" s="20"/>
      <c r="I371" s="20"/>
      <c r="J371" s="20"/>
      <c r="K371" s="20"/>
      <c r="L371" s="20"/>
      <c r="M371" s="20"/>
      <c r="N371" s="20"/>
      <c r="O371" s="20"/>
      <c r="P371" s="20"/>
      <c r="Q371" s="20"/>
      <c r="R371" s="20"/>
      <c r="AR371" s="25"/>
      <c r="AS371" s="25"/>
      <c r="AT371" s="41"/>
      <c r="AU371" s="21"/>
    </row>
    <row r="372" spans="8:47" ht="16" customHeight="1">
      <c r="H372" s="20"/>
      <c r="I372" s="20"/>
      <c r="J372" s="20"/>
      <c r="K372" s="20"/>
      <c r="L372" s="20"/>
      <c r="M372" s="20"/>
      <c r="N372" s="20"/>
      <c r="O372" s="20"/>
      <c r="P372" s="20"/>
      <c r="Q372" s="20"/>
      <c r="R372" s="20"/>
      <c r="AR372" s="25"/>
      <c r="AS372" s="25"/>
      <c r="AT372" s="41"/>
      <c r="AU372" s="21"/>
    </row>
    <row r="373" spans="8:47" ht="16" customHeight="1">
      <c r="H373" s="20"/>
      <c r="I373" s="20"/>
      <c r="J373" s="20"/>
      <c r="K373" s="20"/>
      <c r="L373" s="20"/>
      <c r="M373" s="20"/>
      <c r="N373" s="20"/>
      <c r="O373" s="20"/>
      <c r="P373" s="20"/>
      <c r="Q373" s="20"/>
      <c r="R373" s="20"/>
      <c r="AR373" s="25"/>
      <c r="AS373" s="25"/>
      <c r="AT373" s="41"/>
      <c r="AU373" s="21"/>
    </row>
    <row r="374" spans="8:47" ht="16" customHeight="1">
      <c r="H374" s="20"/>
      <c r="I374" s="20"/>
      <c r="J374" s="20"/>
      <c r="K374" s="20"/>
      <c r="L374" s="20"/>
      <c r="M374" s="20"/>
      <c r="N374" s="20"/>
      <c r="O374" s="20"/>
      <c r="P374" s="20"/>
      <c r="Q374" s="20"/>
      <c r="R374" s="20"/>
      <c r="AR374" s="25"/>
      <c r="AS374" s="25"/>
      <c r="AT374" s="41"/>
      <c r="AU374" s="21"/>
    </row>
    <row r="375" spans="8:47" ht="16" customHeight="1">
      <c r="H375" s="20"/>
      <c r="I375" s="20"/>
      <c r="J375" s="20"/>
      <c r="K375" s="20"/>
      <c r="L375" s="20"/>
      <c r="M375" s="20"/>
      <c r="N375" s="20"/>
      <c r="O375" s="20"/>
      <c r="P375" s="20"/>
      <c r="Q375" s="20"/>
      <c r="R375" s="20"/>
      <c r="AR375" s="25"/>
      <c r="AS375" s="25"/>
      <c r="AT375" s="41"/>
      <c r="AU375" s="21"/>
    </row>
    <row r="376" spans="8:47" ht="16" customHeight="1">
      <c r="H376" s="20"/>
      <c r="I376" s="20"/>
      <c r="J376" s="20"/>
      <c r="K376" s="20"/>
      <c r="L376" s="20"/>
      <c r="M376" s="20"/>
      <c r="N376" s="20"/>
      <c r="O376" s="20"/>
      <c r="P376" s="20"/>
      <c r="Q376" s="20"/>
      <c r="R376" s="20"/>
      <c r="AR376" s="25"/>
      <c r="AS376" s="25"/>
      <c r="AT376" s="41"/>
      <c r="AU376" s="21"/>
    </row>
    <row r="377" spans="8:47" ht="16" customHeight="1">
      <c r="H377" s="20"/>
      <c r="I377" s="20"/>
      <c r="J377" s="20"/>
      <c r="K377" s="20"/>
      <c r="L377" s="20"/>
      <c r="M377" s="20"/>
      <c r="N377" s="20"/>
      <c r="O377" s="20"/>
      <c r="P377" s="20"/>
      <c r="Q377" s="20"/>
      <c r="R377" s="20"/>
      <c r="AR377" s="25"/>
      <c r="AS377" s="25"/>
      <c r="AT377" s="41"/>
      <c r="AU377" s="21"/>
    </row>
    <row r="378" spans="8:47" ht="16" customHeight="1">
      <c r="H378" s="20"/>
      <c r="I378" s="20"/>
      <c r="J378" s="20"/>
      <c r="K378" s="20"/>
      <c r="L378" s="20"/>
      <c r="M378" s="20"/>
      <c r="N378" s="20"/>
      <c r="O378" s="20"/>
      <c r="P378" s="20"/>
      <c r="Q378" s="20"/>
      <c r="R378" s="20"/>
      <c r="AR378" s="25"/>
      <c r="AS378" s="25"/>
      <c r="AT378" s="41"/>
      <c r="AU378" s="21"/>
    </row>
    <row r="379" spans="8:47" ht="16" customHeight="1">
      <c r="H379" s="20"/>
      <c r="I379" s="20"/>
      <c r="J379" s="20"/>
      <c r="K379" s="20"/>
      <c r="L379" s="20"/>
      <c r="M379" s="20"/>
      <c r="N379" s="20"/>
      <c r="O379" s="20"/>
      <c r="P379" s="20"/>
      <c r="Q379" s="20"/>
      <c r="R379" s="20"/>
      <c r="AR379" s="25"/>
      <c r="AS379" s="25"/>
      <c r="AT379" s="41"/>
      <c r="AU379" s="21"/>
    </row>
    <row r="380" spans="8:47" ht="16" customHeight="1">
      <c r="H380" s="20"/>
      <c r="I380" s="20"/>
      <c r="J380" s="20"/>
      <c r="K380" s="20"/>
      <c r="L380" s="20"/>
      <c r="M380" s="20"/>
      <c r="N380" s="20"/>
      <c r="O380" s="20"/>
      <c r="P380" s="20"/>
      <c r="Q380" s="20"/>
      <c r="R380" s="20"/>
      <c r="AR380" s="25"/>
      <c r="AS380" s="25"/>
      <c r="AT380" s="41"/>
      <c r="AU380" s="21"/>
    </row>
    <row r="381" spans="8:47" ht="16" customHeight="1">
      <c r="H381" s="20"/>
      <c r="I381" s="20"/>
      <c r="J381" s="20"/>
      <c r="K381" s="20"/>
      <c r="L381" s="20"/>
      <c r="M381" s="20"/>
      <c r="N381" s="20"/>
      <c r="O381" s="20"/>
      <c r="P381" s="20"/>
      <c r="Q381" s="20"/>
      <c r="R381" s="20"/>
      <c r="AR381" s="25"/>
      <c r="AS381" s="25"/>
      <c r="AT381" s="41"/>
      <c r="AU381" s="21"/>
    </row>
    <row r="382" spans="8:47" ht="16" customHeight="1">
      <c r="H382" s="20"/>
      <c r="I382" s="20"/>
      <c r="J382" s="20"/>
      <c r="K382" s="20"/>
      <c r="L382" s="20"/>
      <c r="M382" s="20"/>
      <c r="N382" s="20"/>
      <c r="O382" s="20"/>
      <c r="P382" s="20"/>
      <c r="Q382" s="20"/>
      <c r="R382" s="20"/>
      <c r="AR382" s="25"/>
      <c r="AS382" s="25"/>
      <c r="AT382" s="41"/>
      <c r="AU382" s="21"/>
    </row>
    <row r="383" spans="8:47" ht="16" customHeight="1">
      <c r="H383" s="20"/>
      <c r="I383" s="20"/>
      <c r="J383" s="20"/>
      <c r="K383" s="20"/>
      <c r="L383" s="20"/>
      <c r="M383" s="20"/>
      <c r="N383" s="20"/>
      <c r="O383" s="20"/>
      <c r="P383" s="20"/>
      <c r="Q383" s="20"/>
      <c r="R383" s="20"/>
      <c r="AR383" s="25"/>
      <c r="AS383" s="25"/>
      <c r="AT383" s="41"/>
      <c r="AU383" s="21"/>
    </row>
    <row r="384" spans="8:47" ht="16" customHeight="1">
      <c r="H384" s="20"/>
      <c r="I384" s="20"/>
      <c r="J384" s="20"/>
      <c r="K384" s="20"/>
      <c r="L384" s="20"/>
      <c r="M384" s="20"/>
      <c r="N384" s="20"/>
      <c r="O384" s="20"/>
      <c r="P384" s="20"/>
      <c r="Q384" s="20"/>
      <c r="R384" s="20"/>
      <c r="AR384" s="25"/>
      <c r="AS384" s="25"/>
      <c r="AT384" s="41"/>
      <c r="AU384" s="21"/>
    </row>
    <row r="385" spans="8:47" ht="16" customHeight="1">
      <c r="H385" s="20"/>
      <c r="I385" s="20"/>
      <c r="J385" s="20"/>
      <c r="K385" s="20"/>
      <c r="L385" s="20"/>
      <c r="M385" s="20"/>
      <c r="N385" s="20"/>
      <c r="O385" s="20"/>
      <c r="P385" s="20"/>
      <c r="Q385" s="20"/>
      <c r="R385" s="20"/>
      <c r="AR385" s="25"/>
      <c r="AS385" s="25"/>
      <c r="AT385" s="41"/>
      <c r="AU385" s="21"/>
    </row>
    <row r="386" spans="8:47" ht="16" customHeight="1">
      <c r="H386" s="20"/>
      <c r="I386" s="20"/>
      <c r="J386" s="20"/>
      <c r="K386" s="20"/>
      <c r="L386" s="20"/>
      <c r="M386" s="20"/>
      <c r="N386" s="20"/>
      <c r="O386" s="20"/>
      <c r="P386" s="20"/>
      <c r="Q386" s="20"/>
      <c r="R386" s="20"/>
      <c r="AR386" s="25"/>
      <c r="AS386" s="25"/>
      <c r="AT386" s="41"/>
      <c r="AU386" s="21"/>
    </row>
    <row r="387" spans="8:47" ht="16" customHeight="1">
      <c r="H387" s="20"/>
      <c r="I387" s="20"/>
      <c r="J387" s="20"/>
      <c r="K387" s="20"/>
      <c r="L387" s="20"/>
      <c r="M387" s="20"/>
      <c r="N387" s="20"/>
      <c r="O387" s="20"/>
      <c r="P387" s="20"/>
      <c r="Q387" s="20"/>
      <c r="R387" s="20"/>
      <c r="AR387" s="25"/>
      <c r="AS387" s="25"/>
      <c r="AT387" s="41"/>
      <c r="AU387" s="21"/>
    </row>
    <row r="388" spans="8:47" ht="16" customHeight="1">
      <c r="H388" s="20"/>
      <c r="I388" s="20"/>
      <c r="J388" s="20"/>
      <c r="K388" s="20"/>
      <c r="L388" s="20"/>
      <c r="M388" s="20"/>
      <c r="N388" s="20"/>
      <c r="O388" s="20"/>
      <c r="P388" s="20"/>
      <c r="Q388" s="20"/>
      <c r="R388" s="20"/>
      <c r="AR388" s="25"/>
      <c r="AS388" s="25"/>
      <c r="AT388" s="41"/>
      <c r="AU388" s="21"/>
    </row>
    <row r="389" spans="8:47" ht="16" customHeight="1">
      <c r="H389" s="20"/>
      <c r="I389" s="20"/>
      <c r="J389" s="20"/>
      <c r="K389" s="20"/>
      <c r="L389" s="20"/>
      <c r="M389" s="20"/>
      <c r="N389" s="20"/>
      <c r="O389" s="20"/>
      <c r="P389" s="20"/>
      <c r="Q389" s="20"/>
      <c r="R389" s="20"/>
      <c r="AR389" s="25"/>
      <c r="AS389" s="25"/>
      <c r="AT389" s="41"/>
      <c r="AU389" s="21"/>
    </row>
    <row r="390" spans="8:47" ht="16" customHeight="1">
      <c r="H390" s="20"/>
      <c r="I390" s="20"/>
      <c r="J390" s="20"/>
      <c r="K390" s="20"/>
      <c r="L390" s="20"/>
      <c r="M390" s="20"/>
      <c r="N390" s="20"/>
      <c r="O390" s="20"/>
      <c r="P390" s="20"/>
      <c r="Q390" s="20"/>
      <c r="R390" s="20"/>
      <c r="AR390" s="25"/>
      <c r="AS390" s="25"/>
      <c r="AT390" s="41"/>
      <c r="AU390" s="21"/>
    </row>
    <row r="391" spans="8:47" ht="16" customHeight="1">
      <c r="H391" s="20"/>
      <c r="I391" s="20"/>
      <c r="J391" s="20"/>
      <c r="K391" s="20"/>
      <c r="L391" s="20"/>
      <c r="M391" s="20"/>
      <c r="N391" s="20"/>
      <c r="O391" s="20"/>
      <c r="P391" s="20"/>
      <c r="Q391" s="20"/>
      <c r="R391" s="20"/>
      <c r="AR391" s="25"/>
      <c r="AS391" s="25"/>
      <c r="AT391" s="41"/>
      <c r="AU391" s="21"/>
    </row>
    <row r="392" spans="8:47" ht="16" customHeight="1">
      <c r="H392" s="20"/>
      <c r="I392" s="20"/>
      <c r="J392" s="20"/>
      <c r="K392" s="20"/>
      <c r="L392" s="20"/>
      <c r="M392" s="20"/>
      <c r="N392" s="20"/>
      <c r="O392" s="20"/>
      <c r="P392" s="20"/>
      <c r="Q392" s="20"/>
      <c r="R392" s="20"/>
      <c r="AR392" s="25"/>
      <c r="AS392" s="25"/>
      <c r="AT392" s="41"/>
      <c r="AU392" s="21"/>
    </row>
    <row r="393" spans="8:47" ht="16" customHeight="1">
      <c r="H393" s="20"/>
      <c r="I393" s="20"/>
      <c r="J393" s="20"/>
      <c r="K393" s="20"/>
      <c r="L393" s="20"/>
      <c r="M393" s="20"/>
      <c r="N393" s="20"/>
      <c r="O393" s="20"/>
      <c r="P393" s="20"/>
      <c r="Q393" s="20"/>
      <c r="R393" s="20"/>
      <c r="AR393" s="25"/>
      <c r="AS393" s="25"/>
      <c r="AT393" s="41"/>
      <c r="AU393" s="21"/>
    </row>
    <row r="394" spans="8:47" ht="16" customHeight="1">
      <c r="H394" s="20"/>
      <c r="I394" s="20"/>
      <c r="J394" s="20"/>
      <c r="K394" s="20"/>
      <c r="L394" s="20"/>
      <c r="M394" s="20"/>
      <c r="N394" s="20"/>
      <c r="O394" s="20"/>
      <c r="P394" s="20"/>
      <c r="Q394" s="20"/>
      <c r="R394" s="20"/>
      <c r="AR394" s="25"/>
      <c r="AS394" s="25"/>
      <c r="AT394" s="41"/>
      <c r="AU394" s="21"/>
    </row>
    <row r="395" spans="8:47" ht="16" customHeight="1">
      <c r="H395" s="20"/>
      <c r="I395" s="20"/>
      <c r="J395" s="20"/>
      <c r="K395" s="20"/>
      <c r="L395" s="20"/>
      <c r="M395" s="20"/>
      <c r="N395" s="20"/>
      <c r="O395" s="20"/>
      <c r="P395" s="20"/>
      <c r="Q395" s="20"/>
      <c r="R395" s="20"/>
      <c r="AR395" s="25"/>
      <c r="AS395" s="25"/>
      <c r="AT395" s="41"/>
      <c r="AU395" s="21"/>
    </row>
    <row r="396" spans="8:47" ht="16" customHeight="1">
      <c r="H396" s="20"/>
      <c r="I396" s="20"/>
      <c r="J396" s="20"/>
      <c r="K396" s="20"/>
      <c r="L396" s="20"/>
      <c r="M396" s="20"/>
      <c r="N396" s="20"/>
      <c r="O396" s="20"/>
      <c r="P396" s="20"/>
      <c r="Q396" s="20"/>
      <c r="R396" s="20"/>
      <c r="AR396" s="25"/>
      <c r="AS396" s="25"/>
      <c r="AT396" s="41"/>
      <c r="AU396" s="21"/>
    </row>
    <row r="397" spans="8:47" ht="16" customHeight="1">
      <c r="H397" s="20"/>
      <c r="I397" s="20"/>
      <c r="J397" s="20"/>
      <c r="K397" s="20"/>
      <c r="L397" s="20"/>
      <c r="M397" s="20"/>
      <c r="N397" s="20"/>
      <c r="O397" s="20"/>
      <c r="P397" s="20"/>
      <c r="Q397" s="20"/>
      <c r="R397" s="20"/>
      <c r="AR397" s="25"/>
      <c r="AS397" s="25"/>
      <c r="AT397" s="41"/>
      <c r="AU397" s="21"/>
    </row>
    <row r="398" spans="8:47" ht="16" customHeight="1">
      <c r="H398" s="20"/>
      <c r="I398" s="20"/>
      <c r="J398" s="20"/>
      <c r="K398" s="20"/>
      <c r="L398" s="20"/>
      <c r="M398" s="20"/>
      <c r="N398" s="20"/>
      <c r="O398" s="20"/>
      <c r="P398" s="20"/>
      <c r="Q398" s="20"/>
      <c r="R398" s="20"/>
      <c r="AR398" s="25"/>
      <c r="AS398" s="25"/>
      <c r="AT398" s="41"/>
      <c r="AU398" s="21"/>
    </row>
    <row r="399" spans="8:47" ht="16" customHeight="1">
      <c r="H399" s="20"/>
      <c r="I399" s="20"/>
      <c r="J399" s="20"/>
      <c r="K399" s="20"/>
      <c r="L399" s="20"/>
      <c r="M399" s="20"/>
      <c r="N399" s="20"/>
      <c r="O399" s="20"/>
      <c r="P399" s="20"/>
      <c r="Q399" s="20"/>
      <c r="R399" s="20"/>
      <c r="AR399" s="25"/>
      <c r="AS399" s="25"/>
      <c r="AT399" s="41"/>
      <c r="AU399" s="21"/>
    </row>
    <row r="400" spans="8:47" ht="16" customHeight="1">
      <c r="H400" s="20"/>
      <c r="I400" s="20"/>
      <c r="J400" s="20"/>
      <c r="K400" s="20"/>
      <c r="L400" s="20"/>
      <c r="M400" s="20"/>
      <c r="N400" s="20"/>
      <c r="O400" s="20"/>
      <c r="P400" s="20"/>
      <c r="Q400" s="20"/>
      <c r="R400" s="20"/>
      <c r="AR400" s="25"/>
      <c r="AS400" s="25"/>
      <c r="AT400" s="41"/>
      <c r="AU400" s="21"/>
    </row>
    <row r="401" spans="8:47" ht="16" customHeight="1">
      <c r="H401" s="20"/>
      <c r="I401" s="20"/>
      <c r="J401" s="20"/>
      <c r="K401" s="20"/>
      <c r="L401" s="20"/>
      <c r="M401" s="20"/>
      <c r="N401" s="20"/>
      <c r="O401" s="20"/>
      <c r="P401" s="20"/>
      <c r="Q401" s="20"/>
      <c r="R401" s="20"/>
      <c r="AR401" s="25"/>
      <c r="AS401" s="25"/>
      <c r="AT401" s="41"/>
      <c r="AU401" s="21"/>
    </row>
    <row r="402" spans="8:47" ht="16" customHeight="1">
      <c r="H402" s="20"/>
      <c r="I402" s="20"/>
      <c r="J402" s="20"/>
      <c r="K402" s="20"/>
      <c r="L402" s="20"/>
      <c r="M402" s="20"/>
      <c r="N402" s="20"/>
      <c r="O402" s="20"/>
      <c r="P402" s="20"/>
      <c r="Q402" s="20"/>
      <c r="R402" s="20"/>
      <c r="AR402" s="25"/>
      <c r="AS402" s="25"/>
      <c r="AT402" s="41"/>
      <c r="AU402" s="21"/>
    </row>
    <row r="403" spans="8:47" ht="16" customHeight="1">
      <c r="H403" s="20"/>
      <c r="I403" s="20"/>
      <c r="J403" s="20"/>
      <c r="K403" s="20"/>
      <c r="L403" s="20"/>
      <c r="M403" s="20"/>
      <c r="N403" s="20"/>
      <c r="O403" s="20"/>
      <c r="P403" s="20"/>
      <c r="Q403" s="20"/>
      <c r="R403" s="20"/>
      <c r="AR403" s="25"/>
      <c r="AS403" s="25"/>
      <c r="AT403" s="41"/>
      <c r="AU403" s="21"/>
    </row>
    <row r="404" spans="8:47" ht="16" customHeight="1">
      <c r="H404" s="20"/>
      <c r="I404" s="20"/>
      <c r="J404" s="20"/>
      <c r="K404" s="20"/>
      <c r="L404" s="20"/>
      <c r="M404" s="20"/>
      <c r="N404" s="20"/>
      <c r="O404" s="20"/>
      <c r="P404" s="20"/>
      <c r="Q404" s="20"/>
      <c r="R404" s="20"/>
      <c r="AR404" s="25"/>
      <c r="AS404" s="25"/>
      <c r="AT404" s="41"/>
      <c r="AU404" s="21"/>
    </row>
    <row r="405" spans="8:47" ht="16" customHeight="1">
      <c r="H405" s="20"/>
      <c r="I405" s="20"/>
      <c r="J405" s="20"/>
      <c r="K405" s="20"/>
      <c r="L405" s="20"/>
      <c r="M405" s="20"/>
      <c r="N405" s="20"/>
      <c r="O405" s="20"/>
      <c r="P405" s="20"/>
      <c r="Q405" s="20"/>
      <c r="R405" s="20"/>
      <c r="AR405" s="25"/>
      <c r="AS405" s="25"/>
      <c r="AT405" s="41"/>
      <c r="AU405" s="21"/>
    </row>
    <row r="406" spans="8:47" ht="16" customHeight="1">
      <c r="H406" s="20"/>
      <c r="I406" s="20"/>
      <c r="J406" s="20"/>
      <c r="K406" s="20"/>
      <c r="L406" s="20"/>
      <c r="M406" s="20"/>
      <c r="N406" s="20"/>
      <c r="O406" s="20"/>
      <c r="P406" s="20"/>
      <c r="Q406" s="20"/>
      <c r="R406" s="20"/>
      <c r="AR406" s="25"/>
      <c r="AS406" s="25"/>
      <c r="AT406" s="41"/>
      <c r="AU406" s="21"/>
    </row>
    <row r="407" spans="8:47" ht="16" customHeight="1">
      <c r="H407" s="20"/>
      <c r="I407" s="20"/>
      <c r="J407" s="20"/>
      <c r="K407" s="20"/>
      <c r="L407" s="20"/>
      <c r="M407" s="20"/>
      <c r="N407" s="20"/>
      <c r="O407" s="20"/>
      <c r="P407" s="20"/>
      <c r="Q407" s="20"/>
      <c r="R407" s="20"/>
      <c r="AR407" s="25"/>
      <c r="AS407" s="25"/>
      <c r="AT407" s="41"/>
      <c r="AU407" s="21"/>
    </row>
    <row r="408" spans="8:47" ht="16" customHeight="1">
      <c r="H408" s="20"/>
      <c r="I408" s="20"/>
      <c r="J408" s="20"/>
      <c r="K408" s="20"/>
      <c r="L408" s="20"/>
      <c r="M408" s="20"/>
      <c r="N408" s="20"/>
      <c r="O408" s="20"/>
      <c r="P408" s="20"/>
      <c r="Q408" s="20"/>
      <c r="R408" s="20"/>
      <c r="AR408" s="25"/>
      <c r="AS408" s="25"/>
      <c r="AT408" s="41"/>
      <c r="AU408" s="21"/>
    </row>
    <row r="409" spans="8:47" ht="16" customHeight="1">
      <c r="H409" s="20"/>
      <c r="I409" s="20"/>
      <c r="J409" s="20"/>
      <c r="K409" s="20"/>
      <c r="L409" s="20"/>
      <c r="M409" s="20"/>
      <c r="N409" s="20"/>
      <c r="O409" s="20"/>
      <c r="P409" s="20"/>
      <c r="Q409" s="20"/>
      <c r="R409" s="20"/>
      <c r="AR409" s="25"/>
      <c r="AS409" s="25"/>
      <c r="AT409" s="41"/>
      <c r="AU409" s="21"/>
    </row>
    <row r="410" spans="8:47" ht="16" customHeight="1">
      <c r="H410" s="20"/>
      <c r="I410" s="20"/>
      <c r="J410" s="20"/>
      <c r="K410" s="20"/>
      <c r="L410" s="20"/>
      <c r="M410" s="20"/>
      <c r="N410" s="20"/>
      <c r="O410" s="20"/>
      <c r="P410" s="20"/>
      <c r="Q410" s="20"/>
      <c r="R410" s="20"/>
      <c r="AR410" s="25"/>
      <c r="AS410" s="25"/>
      <c r="AT410" s="41"/>
      <c r="AU410" s="21"/>
    </row>
    <row r="411" spans="8:47" ht="16" customHeight="1">
      <c r="H411" s="20"/>
      <c r="I411" s="20"/>
      <c r="J411" s="20"/>
      <c r="K411" s="20"/>
      <c r="L411" s="20"/>
      <c r="M411" s="20"/>
      <c r="N411" s="20"/>
      <c r="O411" s="20"/>
      <c r="P411" s="20"/>
      <c r="Q411" s="20"/>
      <c r="R411" s="20"/>
      <c r="AR411" s="25"/>
      <c r="AS411" s="25"/>
      <c r="AT411" s="41"/>
      <c r="AU411" s="21"/>
    </row>
    <row r="412" spans="8:47" ht="16" customHeight="1">
      <c r="H412" s="20"/>
      <c r="I412" s="20"/>
      <c r="J412" s="20"/>
      <c r="K412" s="20"/>
      <c r="L412" s="20"/>
      <c r="M412" s="20"/>
      <c r="N412" s="20"/>
      <c r="O412" s="20"/>
      <c r="P412" s="20"/>
      <c r="Q412" s="20"/>
      <c r="R412" s="20"/>
      <c r="AR412" s="25"/>
      <c r="AS412" s="25"/>
      <c r="AT412" s="41"/>
      <c r="AU412" s="21"/>
    </row>
    <row r="413" spans="8:47" ht="16" customHeight="1">
      <c r="H413" s="20"/>
      <c r="I413" s="20"/>
      <c r="J413" s="20"/>
      <c r="K413" s="20"/>
      <c r="L413" s="20"/>
      <c r="M413" s="20"/>
      <c r="N413" s="20"/>
      <c r="O413" s="20"/>
      <c r="P413" s="20"/>
      <c r="Q413" s="20"/>
      <c r="R413" s="20"/>
      <c r="AR413" s="25"/>
      <c r="AS413" s="25"/>
      <c r="AT413" s="41"/>
      <c r="AU413" s="21"/>
    </row>
    <row r="414" spans="8:47" ht="16" customHeight="1">
      <c r="H414" s="20"/>
      <c r="I414" s="20"/>
      <c r="J414" s="20"/>
      <c r="K414" s="20"/>
      <c r="L414" s="20"/>
      <c r="M414" s="20"/>
      <c r="N414" s="20"/>
      <c r="O414" s="20"/>
      <c r="P414" s="20"/>
      <c r="Q414" s="20"/>
      <c r="R414" s="20"/>
      <c r="AR414" s="25"/>
      <c r="AS414" s="25"/>
      <c r="AT414" s="41"/>
      <c r="AU414" s="21"/>
    </row>
    <row r="415" spans="8:47" ht="16" customHeight="1">
      <c r="H415" s="20"/>
      <c r="I415" s="20"/>
      <c r="J415" s="20"/>
      <c r="K415" s="20"/>
      <c r="L415" s="20"/>
      <c r="M415" s="20"/>
      <c r="N415" s="20"/>
      <c r="O415" s="20"/>
      <c r="P415" s="20"/>
      <c r="Q415" s="20"/>
      <c r="R415" s="20"/>
      <c r="AR415" s="25"/>
      <c r="AS415" s="25"/>
      <c r="AT415" s="41"/>
      <c r="AU415" s="21"/>
    </row>
    <row r="416" spans="8:47" ht="16" customHeight="1">
      <c r="H416" s="20"/>
      <c r="I416" s="20"/>
      <c r="J416" s="20"/>
      <c r="K416" s="20"/>
      <c r="L416" s="20"/>
      <c r="M416" s="20"/>
      <c r="N416" s="20"/>
      <c r="O416" s="20"/>
      <c r="P416" s="20"/>
      <c r="Q416" s="20"/>
      <c r="R416" s="20"/>
      <c r="AR416" s="25"/>
      <c r="AS416" s="25"/>
      <c r="AT416" s="41"/>
      <c r="AU416" s="21"/>
    </row>
    <row r="417" spans="8:47" ht="16" customHeight="1">
      <c r="H417" s="20"/>
      <c r="I417" s="20"/>
      <c r="J417" s="20"/>
      <c r="K417" s="20"/>
      <c r="L417" s="20"/>
      <c r="M417" s="20"/>
      <c r="N417" s="20"/>
      <c r="O417" s="20"/>
      <c r="P417" s="20"/>
      <c r="Q417" s="20"/>
      <c r="R417" s="20"/>
      <c r="AR417" s="25"/>
      <c r="AS417" s="25"/>
      <c r="AT417" s="41"/>
      <c r="AU417" s="21"/>
    </row>
    <row r="418" spans="8:47" ht="16" customHeight="1">
      <c r="H418" s="20"/>
      <c r="I418" s="20"/>
      <c r="J418" s="20"/>
      <c r="K418" s="20"/>
      <c r="L418" s="20"/>
      <c r="M418" s="20"/>
      <c r="N418" s="20"/>
      <c r="O418" s="20"/>
      <c r="P418" s="20"/>
      <c r="Q418" s="20"/>
      <c r="R418" s="20"/>
      <c r="AR418" s="25"/>
      <c r="AS418" s="25"/>
      <c r="AT418" s="41"/>
      <c r="AU418" s="21"/>
    </row>
    <row r="419" spans="8:47" ht="16" customHeight="1">
      <c r="H419" s="20"/>
      <c r="I419" s="20"/>
      <c r="J419" s="20"/>
      <c r="K419" s="20"/>
      <c r="L419" s="20"/>
      <c r="M419" s="20"/>
      <c r="N419" s="20"/>
      <c r="O419" s="20"/>
      <c r="P419" s="20"/>
      <c r="Q419" s="20"/>
      <c r="R419" s="20"/>
      <c r="AR419" s="25"/>
      <c r="AS419" s="25"/>
      <c r="AT419" s="41"/>
      <c r="AU419" s="21"/>
    </row>
    <row r="420" spans="8:47" ht="16" customHeight="1">
      <c r="H420" s="20"/>
      <c r="I420" s="20"/>
      <c r="J420" s="20"/>
      <c r="K420" s="20"/>
      <c r="L420" s="20"/>
      <c r="M420" s="20"/>
      <c r="N420" s="20"/>
      <c r="O420" s="20"/>
      <c r="P420" s="20"/>
      <c r="Q420" s="20"/>
      <c r="R420" s="20"/>
      <c r="AR420" s="25"/>
      <c r="AS420" s="25"/>
      <c r="AT420" s="41"/>
      <c r="AU420" s="21"/>
    </row>
    <row r="421" spans="8:47" ht="16" customHeight="1">
      <c r="H421" s="20"/>
      <c r="I421" s="20"/>
      <c r="J421" s="20"/>
      <c r="K421" s="20"/>
      <c r="L421" s="20"/>
      <c r="M421" s="20"/>
      <c r="N421" s="20"/>
      <c r="O421" s="20"/>
      <c r="P421" s="20"/>
      <c r="Q421" s="20"/>
      <c r="R421" s="20"/>
      <c r="AR421" s="25"/>
      <c r="AS421" s="25"/>
      <c r="AT421" s="41"/>
      <c r="AU421" s="21"/>
    </row>
    <row r="422" spans="8:47" ht="16" customHeight="1">
      <c r="H422" s="20"/>
      <c r="I422" s="20"/>
      <c r="J422" s="20"/>
      <c r="K422" s="20"/>
      <c r="L422" s="20"/>
      <c r="M422" s="20"/>
      <c r="N422" s="20"/>
      <c r="O422" s="20"/>
      <c r="P422" s="20"/>
      <c r="Q422" s="20"/>
      <c r="R422" s="20"/>
      <c r="AR422" s="25"/>
      <c r="AS422" s="25"/>
      <c r="AT422" s="41"/>
      <c r="AU422" s="21"/>
    </row>
    <row r="423" spans="8:47" ht="16" customHeight="1">
      <c r="H423" s="20"/>
      <c r="I423" s="20"/>
      <c r="J423" s="20"/>
      <c r="K423" s="20"/>
      <c r="L423" s="20"/>
      <c r="M423" s="20"/>
      <c r="N423" s="20"/>
      <c r="O423" s="20"/>
      <c r="P423" s="20"/>
      <c r="Q423" s="20"/>
      <c r="R423" s="20"/>
      <c r="AR423" s="25"/>
      <c r="AS423" s="25"/>
      <c r="AT423" s="41"/>
      <c r="AU423" s="21"/>
    </row>
    <row r="424" spans="8:47" ht="16" customHeight="1">
      <c r="H424" s="20"/>
      <c r="I424" s="20"/>
      <c r="J424" s="20"/>
      <c r="K424" s="20"/>
      <c r="L424" s="20"/>
      <c r="M424" s="20"/>
      <c r="N424" s="20"/>
      <c r="O424" s="20"/>
      <c r="P424" s="20"/>
      <c r="Q424" s="20"/>
      <c r="R424" s="20"/>
      <c r="AR424" s="25"/>
      <c r="AS424" s="25"/>
      <c r="AT424" s="41"/>
      <c r="AU424" s="21"/>
    </row>
    <row r="425" spans="8:47" ht="16" customHeight="1">
      <c r="H425" s="20"/>
      <c r="I425" s="20"/>
      <c r="J425" s="20"/>
      <c r="K425" s="20"/>
      <c r="L425" s="20"/>
      <c r="M425" s="20"/>
      <c r="N425" s="20"/>
      <c r="O425" s="20"/>
      <c r="P425" s="20"/>
      <c r="Q425" s="20"/>
      <c r="R425" s="20"/>
      <c r="AR425" s="25"/>
      <c r="AS425" s="25"/>
      <c r="AT425" s="41"/>
      <c r="AU425" s="21"/>
    </row>
    <row r="426" spans="8:47" ht="16" customHeight="1">
      <c r="H426" s="20"/>
      <c r="I426" s="20"/>
      <c r="J426" s="20"/>
      <c r="K426" s="20"/>
      <c r="L426" s="20"/>
      <c r="M426" s="20"/>
      <c r="N426" s="20"/>
      <c r="O426" s="20"/>
      <c r="P426" s="20"/>
      <c r="Q426" s="20"/>
      <c r="R426" s="20"/>
      <c r="AR426" s="25"/>
      <c r="AS426" s="25"/>
      <c r="AT426" s="41"/>
      <c r="AU426" s="21"/>
    </row>
    <row r="427" spans="8:47" ht="16" customHeight="1">
      <c r="H427" s="20"/>
      <c r="I427" s="20"/>
      <c r="J427" s="20"/>
      <c r="K427" s="20"/>
      <c r="L427" s="20"/>
      <c r="M427" s="20"/>
      <c r="N427" s="20"/>
      <c r="O427" s="20"/>
      <c r="P427" s="20"/>
      <c r="Q427" s="20"/>
      <c r="R427" s="20"/>
      <c r="AR427" s="25"/>
      <c r="AS427" s="25"/>
      <c r="AT427" s="41"/>
      <c r="AU427" s="21"/>
    </row>
    <row r="428" spans="8:47" ht="16" customHeight="1">
      <c r="H428" s="20"/>
      <c r="I428" s="20"/>
      <c r="J428" s="20"/>
      <c r="K428" s="20"/>
      <c r="L428" s="20"/>
      <c r="M428" s="20"/>
      <c r="N428" s="20"/>
      <c r="O428" s="20"/>
      <c r="P428" s="20"/>
      <c r="Q428" s="20"/>
      <c r="R428" s="20"/>
      <c r="AR428" s="25"/>
      <c r="AS428" s="25"/>
      <c r="AT428" s="41"/>
      <c r="AU428" s="21"/>
    </row>
    <row r="429" spans="8:47" ht="16" customHeight="1">
      <c r="H429" s="20"/>
      <c r="I429" s="20"/>
      <c r="J429" s="20"/>
      <c r="K429" s="20"/>
      <c r="L429" s="20"/>
      <c r="M429" s="20"/>
      <c r="N429" s="20"/>
      <c r="O429" s="20"/>
      <c r="P429" s="20"/>
      <c r="Q429" s="20"/>
      <c r="R429" s="20"/>
      <c r="AR429" s="25"/>
      <c r="AS429" s="25"/>
      <c r="AT429" s="41"/>
      <c r="AU429" s="21"/>
    </row>
    <row r="430" spans="8:47" ht="16" customHeight="1">
      <c r="H430" s="20"/>
      <c r="I430" s="20"/>
      <c r="J430" s="20"/>
      <c r="K430" s="20"/>
      <c r="L430" s="20"/>
      <c r="M430" s="20"/>
      <c r="N430" s="20"/>
      <c r="O430" s="20"/>
      <c r="P430" s="20"/>
      <c r="Q430" s="20"/>
      <c r="R430" s="20"/>
      <c r="AR430" s="25"/>
      <c r="AS430" s="25"/>
      <c r="AT430" s="41"/>
      <c r="AU430" s="21"/>
    </row>
    <row r="431" spans="8:47" ht="16" customHeight="1">
      <c r="H431" s="20"/>
      <c r="I431" s="20"/>
      <c r="J431" s="20"/>
      <c r="K431" s="20"/>
      <c r="L431" s="20"/>
      <c r="M431" s="20"/>
      <c r="N431" s="20"/>
      <c r="O431" s="20"/>
      <c r="P431" s="20"/>
      <c r="Q431" s="20"/>
      <c r="R431" s="20"/>
      <c r="AR431" s="25"/>
      <c r="AS431" s="25"/>
      <c r="AT431" s="41"/>
      <c r="AU431" s="21"/>
    </row>
    <row r="432" spans="8:47" ht="16" customHeight="1">
      <c r="H432" s="20"/>
      <c r="I432" s="20"/>
      <c r="J432" s="20"/>
      <c r="K432" s="20"/>
      <c r="L432" s="20"/>
      <c r="M432" s="20"/>
      <c r="N432" s="20"/>
      <c r="O432" s="20"/>
      <c r="P432" s="20"/>
      <c r="Q432" s="20"/>
      <c r="R432" s="20"/>
      <c r="AR432" s="25"/>
      <c r="AS432" s="25"/>
      <c r="AT432" s="41"/>
      <c r="AU432" s="21"/>
    </row>
    <row r="433" spans="8:47" ht="16" customHeight="1">
      <c r="H433" s="20"/>
      <c r="I433" s="20"/>
      <c r="J433" s="20"/>
      <c r="K433" s="20"/>
      <c r="L433" s="20"/>
      <c r="M433" s="20"/>
      <c r="N433" s="20"/>
      <c r="O433" s="20"/>
      <c r="P433" s="20"/>
      <c r="Q433" s="20"/>
      <c r="R433" s="20"/>
      <c r="AR433" s="25"/>
      <c r="AS433" s="25"/>
      <c r="AT433" s="41"/>
      <c r="AU433" s="21"/>
    </row>
    <row r="434" spans="8:47" ht="16" customHeight="1">
      <c r="H434" s="20"/>
      <c r="I434" s="20"/>
      <c r="J434" s="20"/>
      <c r="K434" s="20"/>
      <c r="L434" s="20"/>
      <c r="M434" s="20"/>
      <c r="N434" s="20"/>
      <c r="O434" s="20"/>
      <c r="P434" s="20"/>
      <c r="Q434" s="20"/>
      <c r="R434" s="20"/>
      <c r="AR434" s="25"/>
      <c r="AS434" s="25"/>
      <c r="AT434" s="41"/>
      <c r="AU434" s="21"/>
    </row>
    <row r="435" spans="8:47" ht="16" customHeight="1">
      <c r="H435" s="20"/>
      <c r="I435" s="20"/>
      <c r="J435" s="20"/>
      <c r="K435" s="20"/>
      <c r="L435" s="20"/>
      <c r="M435" s="20"/>
      <c r="N435" s="20"/>
      <c r="O435" s="20"/>
      <c r="P435" s="20"/>
      <c r="Q435" s="20"/>
      <c r="R435" s="20"/>
      <c r="AR435" s="25"/>
      <c r="AS435" s="25"/>
      <c r="AT435" s="41"/>
      <c r="AU435" s="21"/>
    </row>
    <row r="436" spans="8:47" ht="16" customHeight="1">
      <c r="H436" s="20"/>
      <c r="I436" s="20"/>
      <c r="J436" s="20"/>
      <c r="K436" s="20"/>
      <c r="L436" s="20"/>
      <c r="M436" s="20"/>
      <c r="N436" s="20"/>
      <c r="O436" s="20"/>
      <c r="P436" s="20"/>
      <c r="Q436" s="20"/>
      <c r="R436" s="20"/>
      <c r="AR436" s="25"/>
      <c r="AS436" s="25"/>
      <c r="AT436" s="41"/>
      <c r="AU436" s="21"/>
    </row>
    <row r="437" spans="8:47" ht="16" customHeight="1">
      <c r="H437" s="20"/>
      <c r="I437" s="20"/>
      <c r="J437" s="20"/>
      <c r="K437" s="20"/>
      <c r="L437" s="20"/>
      <c r="M437" s="20"/>
      <c r="N437" s="20"/>
      <c r="O437" s="20"/>
      <c r="P437" s="20"/>
      <c r="Q437" s="20"/>
      <c r="R437" s="20"/>
      <c r="AR437" s="25"/>
      <c r="AS437" s="25"/>
      <c r="AT437" s="41"/>
      <c r="AU437" s="21"/>
    </row>
    <row r="438" spans="8:47" ht="16" customHeight="1">
      <c r="H438" s="20"/>
      <c r="I438" s="20"/>
      <c r="J438" s="20"/>
      <c r="K438" s="20"/>
      <c r="L438" s="20"/>
      <c r="M438" s="20"/>
      <c r="N438" s="20"/>
      <c r="O438" s="20"/>
      <c r="P438" s="20"/>
      <c r="Q438" s="20"/>
      <c r="R438" s="20"/>
      <c r="AR438" s="25"/>
      <c r="AS438" s="25"/>
      <c r="AT438" s="41"/>
      <c r="AU438" s="21"/>
    </row>
    <row r="439" spans="8:47" ht="16" customHeight="1">
      <c r="H439" s="20"/>
      <c r="I439" s="20"/>
      <c r="J439" s="20"/>
      <c r="K439" s="20"/>
      <c r="L439" s="20"/>
      <c r="M439" s="20"/>
      <c r="N439" s="20"/>
      <c r="O439" s="20"/>
      <c r="P439" s="20"/>
      <c r="Q439" s="20"/>
      <c r="R439" s="20"/>
      <c r="AR439" s="25"/>
      <c r="AS439" s="25"/>
      <c r="AT439" s="41"/>
      <c r="AU439" s="21"/>
    </row>
    <row r="440" spans="8:47" ht="16" customHeight="1">
      <c r="H440" s="20"/>
      <c r="I440" s="20"/>
      <c r="J440" s="20"/>
      <c r="K440" s="20"/>
      <c r="L440" s="20"/>
      <c r="M440" s="20"/>
      <c r="N440" s="20"/>
      <c r="O440" s="20"/>
      <c r="P440" s="20"/>
      <c r="Q440" s="20"/>
      <c r="R440" s="20"/>
      <c r="AR440" s="25"/>
      <c r="AS440" s="25"/>
      <c r="AT440" s="41"/>
      <c r="AU440" s="21"/>
    </row>
    <row r="441" spans="8:47" ht="16" customHeight="1">
      <c r="H441" s="20"/>
      <c r="I441" s="20"/>
      <c r="J441" s="20"/>
      <c r="K441" s="20"/>
      <c r="L441" s="20"/>
      <c r="M441" s="20"/>
      <c r="N441" s="20"/>
      <c r="O441" s="20"/>
      <c r="P441" s="20"/>
      <c r="Q441" s="20"/>
      <c r="R441" s="20"/>
      <c r="AR441" s="25"/>
      <c r="AS441" s="25"/>
      <c r="AT441" s="41"/>
      <c r="AU441" s="21"/>
    </row>
    <row r="442" spans="8:47" ht="16" customHeight="1">
      <c r="H442" s="20"/>
      <c r="I442" s="20"/>
      <c r="J442" s="20"/>
      <c r="K442" s="20"/>
      <c r="L442" s="20"/>
      <c r="M442" s="20"/>
      <c r="N442" s="20"/>
      <c r="O442" s="20"/>
      <c r="P442" s="20"/>
      <c r="Q442" s="20"/>
      <c r="R442" s="20"/>
      <c r="AR442" s="25"/>
      <c r="AS442" s="25"/>
      <c r="AT442" s="41"/>
      <c r="AU442" s="21"/>
    </row>
    <row r="443" spans="8:47" ht="16" customHeight="1">
      <c r="H443" s="20"/>
      <c r="I443" s="20"/>
      <c r="J443" s="20"/>
      <c r="K443" s="20"/>
      <c r="L443" s="20"/>
      <c r="M443" s="20"/>
      <c r="N443" s="20"/>
      <c r="O443" s="20"/>
      <c r="P443" s="20"/>
      <c r="Q443" s="20"/>
      <c r="R443" s="20"/>
      <c r="AR443" s="25"/>
      <c r="AS443" s="25"/>
      <c r="AT443" s="41"/>
      <c r="AU443" s="21"/>
    </row>
    <row r="444" spans="8:47" ht="16" customHeight="1">
      <c r="H444" s="20"/>
      <c r="I444" s="20"/>
      <c r="J444" s="20"/>
      <c r="K444" s="20"/>
      <c r="L444" s="20"/>
      <c r="M444" s="20"/>
      <c r="N444" s="20"/>
      <c r="O444" s="20"/>
      <c r="P444" s="20"/>
      <c r="Q444" s="20"/>
      <c r="R444" s="20"/>
      <c r="AR444" s="25"/>
      <c r="AS444" s="25"/>
      <c r="AT444" s="41"/>
      <c r="AU444" s="21"/>
    </row>
    <row r="445" spans="8:47" ht="16" customHeight="1">
      <c r="H445" s="20"/>
      <c r="I445" s="20"/>
      <c r="J445" s="20"/>
      <c r="K445" s="20"/>
      <c r="L445" s="20"/>
      <c r="M445" s="20"/>
      <c r="N445" s="20"/>
      <c r="O445" s="20"/>
      <c r="P445" s="20"/>
      <c r="Q445" s="20"/>
      <c r="R445" s="20"/>
      <c r="AR445" s="25"/>
      <c r="AS445" s="25"/>
      <c r="AT445" s="41"/>
      <c r="AU445" s="21"/>
    </row>
    <row r="446" spans="8:47" ht="16" customHeight="1">
      <c r="H446" s="20"/>
      <c r="I446" s="20"/>
      <c r="J446" s="20"/>
      <c r="K446" s="20"/>
      <c r="L446" s="20"/>
      <c r="M446" s="20"/>
      <c r="N446" s="20"/>
      <c r="O446" s="20"/>
      <c r="P446" s="20"/>
      <c r="Q446" s="20"/>
      <c r="R446" s="20"/>
      <c r="AR446" s="25"/>
      <c r="AS446" s="25"/>
      <c r="AT446" s="41"/>
      <c r="AU446" s="21"/>
    </row>
    <row r="447" spans="8:47" ht="16" customHeight="1">
      <c r="H447" s="20"/>
      <c r="I447" s="20"/>
      <c r="J447" s="20"/>
      <c r="K447" s="20"/>
      <c r="L447" s="20"/>
      <c r="M447" s="20"/>
      <c r="N447" s="20"/>
      <c r="O447" s="20"/>
      <c r="P447" s="20"/>
      <c r="Q447" s="20"/>
      <c r="R447" s="20"/>
      <c r="AR447" s="25"/>
      <c r="AS447" s="25"/>
      <c r="AT447" s="41"/>
      <c r="AU447" s="21"/>
    </row>
    <row r="448" spans="8:47" ht="16" customHeight="1">
      <c r="H448" s="20"/>
      <c r="I448" s="20"/>
      <c r="J448" s="20"/>
      <c r="K448" s="20"/>
      <c r="L448" s="20"/>
      <c r="M448" s="20"/>
      <c r="N448" s="20"/>
      <c r="O448" s="20"/>
      <c r="P448" s="20"/>
      <c r="Q448" s="20"/>
      <c r="R448" s="20"/>
      <c r="AR448" s="25"/>
      <c r="AS448" s="25"/>
      <c r="AT448" s="41"/>
      <c r="AU448" s="21"/>
    </row>
    <row r="449" spans="8:47" ht="16" customHeight="1">
      <c r="H449" s="20"/>
      <c r="I449" s="20"/>
      <c r="J449" s="20"/>
      <c r="K449" s="20"/>
      <c r="L449" s="20"/>
      <c r="M449" s="20"/>
      <c r="N449" s="20"/>
      <c r="O449" s="20"/>
      <c r="P449" s="20"/>
      <c r="Q449" s="20"/>
      <c r="R449" s="20"/>
      <c r="AR449" s="25"/>
      <c r="AS449" s="25"/>
      <c r="AT449" s="41"/>
      <c r="AU449" s="21"/>
    </row>
    <row r="450" spans="8:47" ht="16" customHeight="1">
      <c r="H450" s="20"/>
      <c r="I450" s="20"/>
      <c r="J450" s="20"/>
      <c r="K450" s="20"/>
      <c r="L450" s="20"/>
      <c r="M450" s="20"/>
      <c r="N450" s="20"/>
      <c r="O450" s="20"/>
      <c r="P450" s="20"/>
      <c r="Q450" s="20"/>
      <c r="R450" s="20"/>
      <c r="AR450" s="25"/>
      <c r="AS450" s="25"/>
      <c r="AT450" s="41"/>
      <c r="AU450" s="21"/>
    </row>
    <row r="451" spans="8:47" ht="16" customHeight="1">
      <c r="H451" s="20"/>
      <c r="I451" s="20"/>
      <c r="J451" s="20"/>
      <c r="K451" s="20"/>
      <c r="L451" s="20"/>
      <c r="M451" s="20"/>
      <c r="N451" s="20"/>
      <c r="O451" s="20"/>
      <c r="P451" s="20"/>
      <c r="Q451" s="20"/>
      <c r="R451" s="20"/>
      <c r="AR451" s="25"/>
      <c r="AS451" s="25"/>
      <c r="AT451" s="41"/>
      <c r="AU451" s="21"/>
    </row>
    <row r="452" spans="8:47" ht="16" customHeight="1">
      <c r="H452" s="20"/>
      <c r="I452" s="20"/>
      <c r="J452" s="20"/>
      <c r="K452" s="20"/>
      <c r="L452" s="20"/>
      <c r="M452" s="20"/>
      <c r="N452" s="20"/>
      <c r="O452" s="20"/>
      <c r="P452" s="20"/>
      <c r="Q452" s="20"/>
      <c r="R452" s="20"/>
      <c r="AR452" s="25"/>
      <c r="AS452" s="25"/>
      <c r="AT452" s="41"/>
      <c r="AU452" s="21"/>
    </row>
    <row r="453" spans="8:47" ht="16" customHeight="1">
      <c r="H453" s="20"/>
      <c r="I453" s="20"/>
      <c r="J453" s="20"/>
      <c r="K453" s="20"/>
      <c r="L453" s="20"/>
      <c r="M453" s="20"/>
      <c r="N453" s="20"/>
      <c r="O453" s="20"/>
      <c r="P453" s="20"/>
      <c r="Q453" s="20"/>
      <c r="R453" s="20"/>
      <c r="AR453" s="25"/>
      <c r="AS453" s="25"/>
      <c r="AT453" s="41"/>
      <c r="AU453" s="21"/>
    </row>
    <row r="454" spans="8:47" ht="16" customHeight="1">
      <c r="H454" s="20"/>
      <c r="I454" s="20"/>
      <c r="J454" s="20"/>
      <c r="K454" s="20"/>
      <c r="L454" s="20"/>
      <c r="M454" s="20"/>
      <c r="N454" s="20"/>
      <c r="O454" s="20"/>
      <c r="P454" s="20"/>
      <c r="Q454" s="20"/>
      <c r="R454" s="20"/>
      <c r="AR454" s="25"/>
      <c r="AS454" s="25"/>
      <c r="AT454" s="41"/>
      <c r="AU454" s="21"/>
    </row>
    <row r="455" spans="8:47" ht="16" customHeight="1">
      <c r="H455" s="20"/>
      <c r="I455" s="20"/>
      <c r="J455" s="20"/>
      <c r="K455" s="20"/>
      <c r="L455" s="20"/>
      <c r="M455" s="20"/>
      <c r="N455" s="20"/>
      <c r="O455" s="20"/>
      <c r="P455" s="20"/>
      <c r="Q455" s="20"/>
      <c r="R455" s="20"/>
      <c r="AR455" s="25"/>
      <c r="AS455" s="25"/>
      <c r="AT455" s="41"/>
      <c r="AU455" s="21"/>
    </row>
    <row r="456" spans="8:47" ht="16" customHeight="1">
      <c r="H456" s="20"/>
      <c r="I456" s="20"/>
      <c r="J456" s="20"/>
      <c r="K456" s="20"/>
      <c r="L456" s="20"/>
      <c r="M456" s="20"/>
      <c r="N456" s="20"/>
      <c r="O456" s="20"/>
      <c r="P456" s="20"/>
      <c r="Q456" s="20"/>
      <c r="R456" s="20"/>
      <c r="AR456" s="25"/>
      <c r="AS456" s="25"/>
      <c r="AT456" s="41"/>
      <c r="AU456" s="21"/>
    </row>
    <row r="457" spans="8:47" ht="16" customHeight="1">
      <c r="H457" s="20"/>
      <c r="I457" s="20"/>
      <c r="J457" s="20"/>
      <c r="K457" s="20"/>
      <c r="L457" s="20"/>
      <c r="M457" s="20"/>
      <c r="N457" s="20"/>
      <c r="O457" s="20"/>
      <c r="P457" s="20"/>
      <c r="Q457" s="20"/>
      <c r="R457" s="20"/>
      <c r="AR457" s="25"/>
      <c r="AS457" s="25"/>
      <c r="AT457" s="41"/>
      <c r="AU457" s="21"/>
    </row>
    <row r="458" spans="8:47" ht="16" customHeight="1">
      <c r="H458" s="20"/>
      <c r="I458" s="20"/>
      <c r="J458" s="20"/>
      <c r="K458" s="20"/>
      <c r="L458" s="20"/>
      <c r="M458" s="20"/>
      <c r="N458" s="20"/>
      <c r="O458" s="20"/>
      <c r="P458" s="20"/>
      <c r="Q458" s="20"/>
      <c r="R458" s="20"/>
      <c r="AR458" s="25"/>
      <c r="AS458" s="25"/>
      <c r="AT458" s="41"/>
      <c r="AU458" s="21"/>
    </row>
    <row r="459" spans="8:47" ht="16" customHeight="1">
      <c r="H459" s="20"/>
      <c r="I459" s="20"/>
      <c r="J459" s="20"/>
      <c r="K459" s="20"/>
      <c r="L459" s="20"/>
      <c r="M459" s="20"/>
      <c r="N459" s="20"/>
      <c r="O459" s="20"/>
      <c r="P459" s="20"/>
      <c r="Q459" s="20"/>
      <c r="R459" s="20"/>
      <c r="AR459" s="25"/>
      <c r="AS459" s="25"/>
      <c r="AT459" s="41"/>
      <c r="AU459" s="21"/>
    </row>
    <row r="460" spans="8:47" ht="16" customHeight="1">
      <c r="H460" s="20"/>
      <c r="I460" s="20"/>
      <c r="J460" s="20"/>
      <c r="K460" s="20"/>
      <c r="L460" s="20"/>
      <c r="M460" s="20"/>
      <c r="N460" s="20"/>
      <c r="O460" s="20"/>
      <c r="P460" s="20"/>
      <c r="Q460" s="20"/>
      <c r="R460" s="20"/>
      <c r="AR460" s="25"/>
      <c r="AS460" s="25"/>
      <c r="AT460" s="41"/>
      <c r="AU460" s="21"/>
    </row>
    <row r="461" spans="8:47" ht="16" customHeight="1">
      <c r="H461" s="20"/>
      <c r="I461" s="20"/>
      <c r="J461" s="20"/>
      <c r="K461" s="20"/>
      <c r="L461" s="20"/>
      <c r="M461" s="20"/>
      <c r="N461" s="20"/>
      <c r="O461" s="20"/>
      <c r="P461" s="20"/>
      <c r="Q461" s="20"/>
      <c r="R461" s="20"/>
      <c r="AR461" s="25"/>
      <c r="AS461" s="25"/>
      <c r="AT461" s="41"/>
      <c r="AU461" s="21"/>
    </row>
    <row r="462" spans="8:47" ht="16" customHeight="1">
      <c r="H462" s="20"/>
      <c r="I462" s="20"/>
      <c r="J462" s="20"/>
      <c r="K462" s="20"/>
      <c r="L462" s="20"/>
      <c r="M462" s="20"/>
      <c r="N462" s="20"/>
      <c r="O462" s="20"/>
      <c r="P462" s="20"/>
      <c r="Q462" s="20"/>
      <c r="R462" s="20"/>
      <c r="AR462" s="25"/>
      <c r="AS462" s="25"/>
      <c r="AT462" s="41"/>
      <c r="AU462" s="21"/>
    </row>
    <row r="463" spans="8:47" ht="16" customHeight="1">
      <c r="H463" s="20"/>
      <c r="I463" s="20"/>
      <c r="J463" s="20"/>
      <c r="K463" s="20"/>
      <c r="L463" s="20"/>
      <c r="M463" s="20"/>
      <c r="N463" s="20"/>
      <c r="O463" s="20"/>
      <c r="P463" s="20"/>
      <c r="Q463" s="20"/>
      <c r="R463" s="20"/>
      <c r="AR463" s="25"/>
      <c r="AS463" s="25"/>
      <c r="AT463" s="41"/>
      <c r="AU463" s="21"/>
    </row>
    <row r="464" spans="8:47" ht="16" customHeight="1">
      <c r="H464" s="20"/>
      <c r="I464" s="20"/>
      <c r="J464" s="20"/>
      <c r="K464" s="20"/>
      <c r="L464" s="20"/>
      <c r="M464" s="20"/>
      <c r="N464" s="20"/>
      <c r="O464" s="20"/>
      <c r="P464" s="20"/>
      <c r="Q464" s="20"/>
      <c r="R464" s="20"/>
      <c r="AR464" s="25"/>
      <c r="AS464" s="25"/>
      <c r="AT464" s="41"/>
      <c r="AU464" s="21"/>
    </row>
    <row r="465" spans="8:47" ht="16" customHeight="1">
      <c r="H465" s="20"/>
      <c r="I465" s="20"/>
      <c r="J465" s="20"/>
      <c r="K465" s="20"/>
      <c r="L465" s="20"/>
      <c r="M465" s="20"/>
      <c r="N465" s="20"/>
      <c r="O465" s="20"/>
      <c r="P465" s="20"/>
      <c r="Q465" s="20"/>
      <c r="R465" s="20"/>
      <c r="AR465" s="25"/>
      <c r="AS465" s="25"/>
      <c r="AT465" s="41"/>
      <c r="AU465" s="21"/>
    </row>
    <row r="466" spans="8:47" ht="16" customHeight="1">
      <c r="H466" s="20"/>
      <c r="I466" s="20"/>
      <c r="J466" s="20"/>
      <c r="K466" s="20"/>
      <c r="L466" s="20"/>
      <c r="M466" s="20"/>
      <c r="N466" s="20"/>
      <c r="O466" s="20"/>
      <c r="P466" s="20"/>
      <c r="Q466" s="20"/>
      <c r="R466" s="20"/>
      <c r="AR466" s="25"/>
      <c r="AS466" s="25"/>
      <c r="AT466" s="41"/>
      <c r="AU466" s="21"/>
    </row>
    <row r="467" spans="8:47" ht="16" customHeight="1">
      <c r="H467" s="20"/>
      <c r="I467" s="20"/>
      <c r="J467" s="20"/>
      <c r="K467" s="20"/>
      <c r="L467" s="20"/>
      <c r="M467" s="20"/>
      <c r="N467" s="20"/>
      <c r="O467" s="20"/>
      <c r="P467" s="20"/>
      <c r="Q467" s="20"/>
      <c r="R467" s="20"/>
      <c r="AR467" s="25"/>
      <c r="AS467" s="25"/>
      <c r="AT467" s="41"/>
      <c r="AU467" s="21"/>
    </row>
    <row r="468" spans="8:47" ht="16" customHeight="1">
      <c r="H468" s="20"/>
      <c r="I468" s="20"/>
      <c r="J468" s="20"/>
      <c r="K468" s="20"/>
      <c r="L468" s="20"/>
      <c r="M468" s="20"/>
      <c r="N468" s="20"/>
      <c r="O468" s="20"/>
      <c r="P468" s="20"/>
      <c r="Q468" s="20"/>
      <c r="R468" s="20"/>
      <c r="AR468" s="25"/>
      <c r="AS468" s="25"/>
      <c r="AT468" s="41"/>
      <c r="AU468" s="21"/>
    </row>
    <row r="469" spans="8:47" ht="16" customHeight="1">
      <c r="H469" s="20"/>
      <c r="I469" s="20"/>
      <c r="J469" s="20"/>
      <c r="K469" s="20"/>
      <c r="L469" s="20"/>
      <c r="M469" s="20"/>
      <c r="N469" s="20"/>
      <c r="O469" s="20"/>
      <c r="P469" s="20"/>
      <c r="Q469" s="20"/>
      <c r="R469" s="20"/>
      <c r="AR469" s="25"/>
      <c r="AS469" s="25"/>
      <c r="AT469" s="41"/>
      <c r="AU469" s="21"/>
    </row>
    <row r="470" spans="8:47" ht="16" customHeight="1">
      <c r="H470" s="20"/>
      <c r="I470" s="20"/>
      <c r="J470" s="20"/>
      <c r="K470" s="20"/>
      <c r="L470" s="20"/>
      <c r="M470" s="20"/>
      <c r="N470" s="20"/>
      <c r="O470" s="20"/>
      <c r="P470" s="20"/>
      <c r="Q470" s="20"/>
      <c r="R470" s="20"/>
      <c r="AR470" s="25"/>
      <c r="AS470" s="25"/>
      <c r="AT470" s="41"/>
      <c r="AU470" s="21"/>
    </row>
    <row r="471" spans="8:47" ht="16" customHeight="1">
      <c r="H471" s="20"/>
      <c r="I471" s="20"/>
      <c r="J471" s="20"/>
      <c r="K471" s="20"/>
      <c r="L471" s="20"/>
      <c r="M471" s="20"/>
      <c r="N471" s="20"/>
      <c r="O471" s="20"/>
      <c r="P471" s="20"/>
      <c r="Q471" s="20"/>
      <c r="R471" s="20"/>
      <c r="AR471" s="25"/>
      <c r="AS471" s="25"/>
      <c r="AT471" s="41"/>
      <c r="AU471" s="21"/>
    </row>
    <row r="472" spans="8:47" ht="16" customHeight="1">
      <c r="H472" s="20"/>
      <c r="I472" s="20"/>
      <c r="J472" s="20"/>
      <c r="K472" s="20"/>
      <c r="L472" s="20"/>
      <c r="M472" s="20"/>
      <c r="N472" s="20"/>
      <c r="O472" s="20"/>
      <c r="P472" s="20"/>
      <c r="Q472" s="20"/>
      <c r="R472" s="20"/>
      <c r="AR472" s="25"/>
      <c r="AS472" s="25"/>
      <c r="AT472" s="41"/>
      <c r="AU472" s="21"/>
    </row>
    <row r="473" spans="8:47" ht="16" customHeight="1">
      <c r="H473" s="20"/>
      <c r="I473" s="20"/>
      <c r="J473" s="20"/>
      <c r="K473" s="20"/>
      <c r="L473" s="20"/>
      <c r="M473" s="20"/>
      <c r="N473" s="20"/>
      <c r="O473" s="20"/>
      <c r="P473" s="20"/>
      <c r="Q473" s="20"/>
      <c r="R473" s="20"/>
      <c r="AR473" s="25"/>
      <c r="AS473" s="25"/>
      <c r="AT473" s="41"/>
      <c r="AU473" s="21"/>
    </row>
    <row r="474" spans="8:47" ht="16" customHeight="1">
      <c r="H474" s="20"/>
      <c r="I474" s="20"/>
      <c r="J474" s="20"/>
      <c r="K474" s="20"/>
      <c r="L474" s="20"/>
      <c r="M474" s="20"/>
      <c r="N474" s="20"/>
      <c r="O474" s="20"/>
      <c r="P474" s="20"/>
      <c r="Q474" s="20"/>
      <c r="R474" s="20"/>
      <c r="AR474" s="25"/>
      <c r="AS474" s="25"/>
      <c r="AT474" s="41"/>
      <c r="AU474" s="21"/>
    </row>
    <row r="475" spans="8:47" ht="16" customHeight="1">
      <c r="H475" s="20"/>
      <c r="I475" s="20"/>
      <c r="J475" s="20"/>
      <c r="K475" s="20"/>
      <c r="L475" s="20"/>
      <c r="M475" s="20"/>
      <c r="N475" s="20"/>
      <c r="O475" s="20"/>
      <c r="P475" s="20"/>
      <c r="Q475" s="20"/>
      <c r="R475" s="20"/>
      <c r="AR475" s="25"/>
      <c r="AS475" s="25"/>
      <c r="AT475" s="41"/>
      <c r="AU475" s="21"/>
    </row>
    <row r="476" spans="8:47" ht="16" customHeight="1">
      <c r="H476" s="20"/>
      <c r="I476" s="20"/>
      <c r="J476" s="20"/>
      <c r="K476" s="20"/>
      <c r="L476" s="20"/>
      <c r="M476" s="20"/>
      <c r="N476" s="20"/>
      <c r="O476" s="20"/>
      <c r="P476" s="20"/>
      <c r="Q476" s="20"/>
      <c r="R476" s="20"/>
      <c r="AR476" s="25"/>
      <c r="AS476" s="25"/>
      <c r="AT476" s="41"/>
      <c r="AU476" s="21"/>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816A6-D602-9F4C-A9E3-B1DE7209A959}">
  <dimension ref="A1:CB474"/>
  <sheetViews>
    <sheetView zoomScale="125" zoomScaleNormal="125" zoomScalePageLayoutView="125" workbookViewId="0">
      <pane xSplit="2" ySplit="1" topLeftCell="AC3" activePane="bottomRight" state="frozen"/>
      <selection pane="topRight" activeCell="C1" sqref="C1"/>
      <selection pane="bottomLeft" activeCell="A2" sqref="A2"/>
      <selection pane="bottomRight" activeCell="AV16" sqref="AV16"/>
    </sheetView>
  </sheetViews>
  <sheetFormatPr baseColWidth="10" defaultRowHeight="16" customHeight="1"/>
  <cols>
    <col min="1" max="1" width="5.1640625" style="39" bestFit="1" customWidth="1"/>
    <col min="2" max="2" width="15.33203125" style="57" bestFit="1" customWidth="1"/>
    <col min="3" max="3" width="10.6640625" style="67" bestFit="1" customWidth="1"/>
    <col min="4" max="4" width="7.33203125" style="67" bestFit="1" customWidth="1"/>
    <col min="5" max="5" width="2.33203125" style="39" bestFit="1" customWidth="1"/>
    <col min="6" max="6" width="4.5" style="39" bestFit="1" customWidth="1"/>
    <col min="7" max="7" width="3.33203125" style="39" bestFit="1" customWidth="1"/>
    <col min="8" max="8" width="8" style="67" customWidth="1"/>
    <col min="9" max="18" width="5.83203125" style="39" customWidth="1"/>
    <col min="19" max="29" width="5.83203125" style="70" customWidth="1"/>
    <col min="30" max="30" width="0.83203125" style="136" customWidth="1"/>
    <col min="31" max="31" width="9.33203125" style="22" bestFit="1" customWidth="1"/>
    <col min="32" max="32" width="1.33203125" style="22" customWidth="1"/>
    <col min="33" max="33" width="9.1640625" style="40" bestFit="1" customWidth="1"/>
    <col min="34" max="34" width="5.1640625" style="115" customWidth="1"/>
    <col min="35" max="35" width="7.5" style="28" bestFit="1" customWidth="1"/>
    <col min="36" max="36" width="5" style="28" bestFit="1" customWidth="1"/>
    <col min="37" max="40" width="5" style="113" customWidth="1"/>
    <col min="41" max="41" width="5.5" style="137" bestFit="1" customWidth="1"/>
    <col min="42" max="42" width="3.1640625" style="137" bestFit="1" customWidth="1"/>
    <col min="43" max="43" width="2.83203125" style="137" bestFit="1" customWidth="1"/>
    <col min="44" max="44" width="2.33203125" style="137" bestFit="1" customWidth="1"/>
    <col min="45" max="45" width="2.5" style="137" bestFit="1" customWidth="1"/>
    <col min="46" max="46" width="3" style="137" bestFit="1" customWidth="1"/>
    <col min="47" max="47" width="6" style="67" customWidth="1"/>
    <col min="48" max="48" width="7.5" style="44" bestFit="1" customWidth="1"/>
    <col min="49" max="49" width="1.1640625" style="67" customWidth="1"/>
    <col min="50" max="50" width="4.33203125" style="75" bestFit="1" customWidth="1"/>
    <col min="51" max="51" width="8" style="123" customWidth="1"/>
    <col min="52" max="52" width="1.1640625" style="67" customWidth="1"/>
    <col min="53" max="53" width="4.83203125" style="138" bestFit="1" customWidth="1"/>
    <col min="54" max="54" width="2.5" style="67" customWidth="1"/>
    <col min="55" max="64" width="6.6640625" style="67" customWidth="1"/>
    <col min="65" max="75" width="6.6640625" style="70" customWidth="1"/>
    <col min="76" max="76" width="0.83203125" style="136" customWidth="1"/>
    <col min="77" max="77" width="4.83203125" style="70" customWidth="1"/>
    <col min="78" max="78" width="8.33203125" style="67" bestFit="1" customWidth="1"/>
    <col min="79" max="79" width="8.33203125" style="67" customWidth="1"/>
    <col min="80" max="16384" width="10.83203125" style="67"/>
  </cols>
  <sheetData>
    <row r="1" spans="1:80" ht="16" customHeight="1">
      <c r="A1" s="4" t="s">
        <v>0</v>
      </c>
      <c r="B1" s="5" t="s">
        <v>1</v>
      </c>
      <c r="C1" s="14" t="s">
        <v>11</v>
      </c>
      <c r="D1" s="4" t="s">
        <v>332</v>
      </c>
      <c r="E1" s="4" t="s">
        <v>119</v>
      </c>
      <c r="F1" s="4" t="s">
        <v>333</v>
      </c>
      <c r="G1" s="4" t="s">
        <v>8</v>
      </c>
      <c r="H1" s="4" t="s">
        <v>147</v>
      </c>
      <c r="I1" s="4" t="s">
        <v>18</v>
      </c>
      <c r="J1" s="4" t="s">
        <v>22</v>
      </c>
      <c r="K1" s="4" t="s">
        <v>19</v>
      </c>
      <c r="L1" s="4" t="s">
        <v>23</v>
      </c>
      <c r="M1" s="4" t="s">
        <v>265</v>
      </c>
      <c r="N1" s="4" t="s">
        <v>20</v>
      </c>
      <c r="O1" s="4" t="s">
        <v>17</v>
      </c>
      <c r="P1" s="4" t="s">
        <v>24</v>
      </c>
      <c r="Q1" s="4" t="s">
        <v>21</v>
      </c>
      <c r="R1" s="4" t="s">
        <v>16</v>
      </c>
      <c r="S1" s="4" t="s">
        <v>67</v>
      </c>
      <c r="T1" s="4" t="s">
        <v>119</v>
      </c>
      <c r="U1" s="4" t="s">
        <v>127</v>
      </c>
      <c r="V1" s="4" t="s">
        <v>111</v>
      </c>
      <c r="W1" s="4" t="s">
        <v>298</v>
      </c>
      <c r="X1" s="39" t="s">
        <v>329</v>
      </c>
      <c r="Y1" s="39" t="s">
        <v>331</v>
      </c>
      <c r="Z1" s="4" t="s">
        <v>29</v>
      </c>
      <c r="AA1" s="4" t="s">
        <v>153</v>
      </c>
      <c r="AB1" s="39" t="s">
        <v>330</v>
      </c>
      <c r="AC1" s="4" t="s">
        <v>154</v>
      </c>
      <c r="AD1" s="53"/>
      <c r="AE1" s="22" t="s">
        <v>98</v>
      </c>
      <c r="AG1" s="40" t="s">
        <v>175</v>
      </c>
      <c r="AH1" s="113" t="s">
        <v>471</v>
      </c>
      <c r="AI1" s="28" t="s">
        <v>264</v>
      </c>
      <c r="AJ1" s="28" t="s">
        <v>263</v>
      </c>
      <c r="AK1" s="113" t="s">
        <v>472</v>
      </c>
      <c r="AL1" s="113" t="s">
        <v>473</v>
      </c>
      <c r="AM1" s="113" t="s">
        <v>474</v>
      </c>
      <c r="AN1" s="113" t="s">
        <v>475</v>
      </c>
      <c r="AO1" s="113" t="s">
        <v>476</v>
      </c>
      <c r="AP1" s="115" t="s">
        <v>477</v>
      </c>
      <c r="AQ1" s="115" t="s">
        <v>478</v>
      </c>
      <c r="AR1" s="115" t="s">
        <v>479</v>
      </c>
      <c r="AS1" s="115" t="s">
        <v>480</v>
      </c>
      <c r="AT1" s="115" t="s">
        <v>481</v>
      </c>
      <c r="AU1" s="4"/>
      <c r="AV1" s="44" t="s">
        <v>13</v>
      </c>
      <c r="AW1" s="4"/>
      <c r="AX1" s="4" t="s">
        <v>262</v>
      </c>
      <c r="AY1" s="123" t="s">
        <v>95</v>
      </c>
      <c r="AZ1" s="4"/>
      <c r="BA1" s="22" t="s">
        <v>261</v>
      </c>
      <c r="BB1" s="66"/>
      <c r="BC1" s="4" t="s">
        <v>18</v>
      </c>
      <c r="BD1" s="4" t="s">
        <v>22</v>
      </c>
      <c r="BE1" s="4" t="s">
        <v>19</v>
      </c>
      <c r="BF1" s="4" t="s">
        <v>23</v>
      </c>
      <c r="BG1" s="4" t="s">
        <v>265</v>
      </c>
      <c r="BH1" s="4" t="s">
        <v>20</v>
      </c>
      <c r="BI1" s="4" t="s">
        <v>17</v>
      </c>
      <c r="BJ1" s="4" t="s">
        <v>24</v>
      </c>
      <c r="BK1" s="4" t="s">
        <v>21</v>
      </c>
      <c r="BL1" s="4" t="s">
        <v>16</v>
      </c>
      <c r="BM1" s="4" t="s">
        <v>67</v>
      </c>
      <c r="BN1" s="4" t="s">
        <v>119</v>
      </c>
      <c r="BO1" s="4" t="s">
        <v>127</v>
      </c>
      <c r="BP1" s="4" t="s">
        <v>111</v>
      </c>
      <c r="BQ1" s="4" t="s">
        <v>65</v>
      </c>
      <c r="BR1" s="4" t="s">
        <v>66</v>
      </c>
      <c r="BS1" s="4" t="s">
        <v>334</v>
      </c>
      <c r="BT1" s="4" t="s">
        <v>29</v>
      </c>
      <c r="BU1" s="4" t="s">
        <v>105</v>
      </c>
      <c r="BV1" s="4" t="s">
        <v>106</v>
      </c>
      <c r="BW1" s="4" t="s">
        <v>14</v>
      </c>
      <c r="BX1" s="53"/>
      <c r="BY1" s="4"/>
      <c r="BZ1" s="66" t="s">
        <v>97</v>
      </c>
      <c r="CA1" s="66" t="s">
        <v>96</v>
      </c>
      <c r="CB1" s="102"/>
    </row>
    <row r="2" spans="1:80" ht="16" customHeight="1">
      <c r="A2" s="4">
        <v>1</v>
      </c>
      <c r="B2" s="5" t="s">
        <v>41</v>
      </c>
      <c r="C2" s="15" t="s">
        <v>51</v>
      </c>
      <c r="D2" s="15"/>
      <c r="E2" s="124"/>
      <c r="F2" s="124"/>
      <c r="G2" s="124"/>
      <c r="H2" s="124"/>
      <c r="I2" s="56"/>
      <c r="J2" s="56"/>
      <c r="K2" s="56"/>
      <c r="L2" s="56"/>
      <c r="M2" s="56">
        <v>72.358999999999995</v>
      </c>
      <c r="N2" s="56"/>
      <c r="O2" s="56"/>
      <c r="P2" s="56"/>
      <c r="Q2" s="56"/>
      <c r="R2" s="56"/>
      <c r="S2" s="56"/>
      <c r="T2" s="56"/>
      <c r="U2" s="56"/>
      <c r="V2" s="56"/>
      <c r="W2" s="56"/>
      <c r="X2" s="56"/>
      <c r="Y2" s="56"/>
      <c r="Z2" s="56"/>
      <c r="AA2" s="56"/>
      <c r="AB2" s="56"/>
      <c r="AC2" s="56">
        <v>27.640999999999998</v>
      </c>
      <c r="AD2" s="54"/>
      <c r="AE2" s="24">
        <f>SUM(I2:AD2)</f>
        <v>100</v>
      </c>
      <c r="AF2" s="24"/>
      <c r="AG2" s="73">
        <f t="shared" ref="AG2:AG8" si="0">AI2/(AI2+AJ2)</f>
        <v>0.66664489462175158</v>
      </c>
      <c r="AH2" s="114"/>
      <c r="AI2" s="103">
        <f t="shared" ref="AI2:AI10" si="1">(BW2*2-(BC2*4+BD2*4+BE2*3+BF2*3+BH2*2+BI2*2+BJ2*2+BK2*2+BL2+BM2+BN2*5+BO2*4+BP2*2-BQ2-BR2+BT2*4+BV2))-BG2*2</f>
        <v>1.9999510124989817</v>
      </c>
      <c r="AJ2" s="103">
        <f>BG2-AI2</f>
        <v>1.0000734812515275</v>
      </c>
      <c r="AK2" s="114"/>
      <c r="AL2" s="114"/>
      <c r="AM2" s="114"/>
      <c r="AN2" s="114"/>
      <c r="AO2" s="125"/>
      <c r="AP2" s="125"/>
      <c r="AQ2" s="125"/>
      <c r="AR2" s="125"/>
      <c r="AS2" s="125"/>
      <c r="AT2" s="125"/>
      <c r="AU2" s="126"/>
      <c r="AV2" s="44" t="s">
        <v>38</v>
      </c>
      <c r="AW2" s="124"/>
      <c r="AX2" s="127" t="s">
        <v>14</v>
      </c>
      <c r="AY2" s="128">
        <v>4</v>
      </c>
      <c r="AZ2" s="124"/>
      <c r="BA2" s="129">
        <f>IF(AX2="O",AC2/15.9995,
IF(AX2="S",AB2/32.065,
IF(AX2="F",W2/18.998403
)))</f>
        <v>1.7276164880152505</v>
      </c>
      <c r="BB2" s="121"/>
      <c r="BC2" s="39">
        <f t="shared" ref="BC2:BC8" si="2">I2/28.085/BA2*AY2</f>
        <v>0</v>
      </c>
      <c r="BD2" s="39">
        <f t="shared" ref="BD2:BD8" si="3">J2/47.867/BA2*AY2</f>
        <v>0</v>
      </c>
      <c r="BE2" s="39">
        <f t="shared" ref="BE2:BE8" si="4">K2/26.9812/BA2*AY2</f>
        <v>0</v>
      </c>
      <c r="BF2" s="39">
        <f t="shared" ref="BF2:BF8" si="5">L2/51.9958/BA2*AY2</f>
        <v>0</v>
      </c>
      <c r="BG2" s="130">
        <f t="shared" ref="BG2:BG8" si="6">M2/55.8445/BA2*AY2</f>
        <v>3.0000244937505092</v>
      </c>
      <c r="BH2" s="39">
        <f t="shared" ref="BH2:BH8" si="7">N2/54.9375/BA2*AY2</f>
        <v>0</v>
      </c>
      <c r="BI2" s="39">
        <f t="shared" ref="BI2:BI8" si="8">O2/24.3045/BA2*AY2</f>
        <v>0</v>
      </c>
      <c r="BJ2" s="39">
        <f t="shared" ref="BJ2:BJ8" si="9">P2/58.6935/BA2*AY2</f>
        <v>0</v>
      </c>
      <c r="BK2" s="39">
        <f t="shared" ref="BK2:BK8" si="10">Q2/40.0775/BA2*AY2</f>
        <v>0</v>
      </c>
      <c r="BL2" s="39">
        <f t="shared" ref="BL2:BL8" si="11">R2/22.9898/BA2*AY2</f>
        <v>0</v>
      </c>
      <c r="BM2" s="39">
        <f t="shared" ref="BM2:BM8" si="12">S2/39.0983/BA2*AY2</f>
        <v>0</v>
      </c>
      <c r="BN2" s="39">
        <f t="shared" ref="BN2:BN8" si="13">T2/41.096/BA2*AY2</f>
        <v>0</v>
      </c>
      <c r="BO2" s="39">
        <f t="shared" ref="BO2:BO8" si="14">U2/91.221/BA2*AY2</f>
        <v>0</v>
      </c>
      <c r="BP2" s="39">
        <f t="shared" ref="BP2:BP8" si="15">V2/63.5455/BA2*AY2</f>
        <v>0</v>
      </c>
      <c r="BQ2" s="39">
        <f t="shared" ref="BQ2:BQ8" si="16">2*W2/37.9968/BA2*AY2</f>
        <v>0</v>
      </c>
      <c r="BR2" s="39">
        <f t="shared" ref="BR2:BR8" si="17">2*X2/70.906/BA2*AY2</f>
        <v>0</v>
      </c>
      <c r="BS2" s="39">
        <f t="shared" ref="BS2:BS8" si="18">2*Y2/28.013/BA2*AY2</f>
        <v>0</v>
      </c>
      <c r="BT2" s="39">
        <f t="shared" ref="BT2:BT8" si="19">Z2/12.011/BA2*AY2</f>
        <v>0</v>
      </c>
      <c r="BU2" s="39">
        <f t="shared" ref="BU2:BU8" si="20">2*AB2/64.13/BA2*AY2</f>
        <v>0</v>
      </c>
      <c r="BV2" s="134">
        <f t="shared" ref="BV2:BV10" si="21">AA2/1.00775/BA2*AY2</f>
        <v>0</v>
      </c>
      <c r="BW2" s="39">
        <f t="shared" ref="BW2:BW8" si="22">2*AC2/31.999/BA2*AY2</f>
        <v>4</v>
      </c>
      <c r="BX2" s="54"/>
      <c r="BY2" s="56"/>
      <c r="BZ2" s="121">
        <f>SUM(BC2:BM2)</f>
        <v>3.0000244937505092</v>
      </c>
      <c r="CA2" s="121">
        <f>BQ2+BR2+BW2</f>
        <v>4</v>
      </c>
      <c r="CB2" s="131"/>
    </row>
    <row r="3" spans="1:80" ht="16" customHeight="1">
      <c r="A3" s="4">
        <v>1</v>
      </c>
      <c r="B3" s="5" t="s">
        <v>41</v>
      </c>
      <c r="C3" s="15" t="s">
        <v>503</v>
      </c>
      <c r="D3" s="15"/>
      <c r="E3" s="124"/>
      <c r="F3" s="124"/>
      <c r="G3" s="124"/>
      <c r="H3" s="124"/>
      <c r="I3" s="56"/>
      <c r="J3" s="56"/>
      <c r="K3" s="56"/>
      <c r="L3" s="56"/>
      <c r="M3" s="56">
        <v>69.941999999999993</v>
      </c>
      <c r="N3" s="56"/>
      <c r="O3" s="56"/>
      <c r="P3" s="56"/>
      <c r="Q3" s="56"/>
      <c r="R3" s="56"/>
      <c r="S3" s="56"/>
      <c r="T3" s="56"/>
      <c r="U3" s="56"/>
      <c r="V3" s="56"/>
      <c r="W3" s="56"/>
      <c r="X3" s="56"/>
      <c r="Y3" s="56"/>
      <c r="Z3" s="56"/>
      <c r="AA3" s="56"/>
      <c r="AB3" s="56"/>
      <c r="AC3" s="56">
        <v>30.058</v>
      </c>
      <c r="AD3" s="54"/>
      <c r="AE3" s="24">
        <f t="shared" ref="AE3:AE6" si="23">SUM(I3:AD3)</f>
        <v>100</v>
      </c>
      <c r="AF3" s="24"/>
      <c r="AG3" s="73">
        <f t="shared" si="0"/>
        <v>1.0000329524395031</v>
      </c>
      <c r="AH3" s="114"/>
      <c r="AI3" s="103">
        <f t="shared" si="1"/>
        <v>2.0000439361034035</v>
      </c>
      <c r="AJ3" s="103">
        <f t="shared" ref="AJ3:AJ6" si="24">BG3-AI3</f>
        <v>-6.590415510521197E-5</v>
      </c>
      <c r="AK3" s="114"/>
      <c r="AL3" s="114"/>
      <c r="AM3" s="114"/>
      <c r="AN3" s="114"/>
      <c r="AO3" s="125"/>
      <c r="AP3" s="125"/>
      <c r="AQ3" s="125"/>
      <c r="AR3" s="125"/>
      <c r="AS3" s="125"/>
      <c r="AT3" s="125"/>
      <c r="AU3" s="126"/>
      <c r="AV3" s="44" t="s">
        <v>224</v>
      </c>
      <c r="AW3" s="124"/>
      <c r="AX3" s="127" t="s">
        <v>14</v>
      </c>
      <c r="AY3" s="128">
        <v>3</v>
      </c>
      <c r="AZ3" s="124"/>
      <c r="BA3" s="129">
        <f t="shared" ref="BA3:BA7" si="25">IF(AX3="O",AC3/15.9995,
IF(AX3="S",AB3/32.065,
IF(AX3="F",W3/18.998403
)))</f>
        <v>1.8786837088659021</v>
      </c>
      <c r="BB3" s="121"/>
      <c r="BC3" s="39">
        <f t="shared" si="2"/>
        <v>0</v>
      </c>
      <c r="BD3" s="39">
        <f t="shared" si="3"/>
        <v>0</v>
      </c>
      <c r="BE3" s="39">
        <f t="shared" si="4"/>
        <v>0</v>
      </c>
      <c r="BF3" s="39">
        <f t="shared" si="5"/>
        <v>0</v>
      </c>
      <c r="BG3" s="130">
        <f t="shared" si="6"/>
        <v>1.9999780319482983</v>
      </c>
      <c r="BH3" s="39">
        <f t="shared" si="7"/>
        <v>0</v>
      </c>
      <c r="BI3" s="39">
        <f t="shared" si="8"/>
        <v>0</v>
      </c>
      <c r="BJ3" s="39">
        <f t="shared" si="9"/>
        <v>0</v>
      </c>
      <c r="BK3" s="39">
        <f t="shared" si="10"/>
        <v>0</v>
      </c>
      <c r="BL3" s="39">
        <f t="shared" si="11"/>
        <v>0</v>
      </c>
      <c r="BM3" s="39">
        <f t="shared" si="12"/>
        <v>0</v>
      </c>
      <c r="BN3" s="39">
        <f t="shared" si="13"/>
        <v>0</v>
      </c>
      <c r="BO3" s="39">
        <f t="shared" si="14"/>
        <v>0</v>
      </c>
      <c r="BP3" s="39">
        <f t="shared" si="15"/>
        <v>0</v>
      </c>
      <c r="BQ3" s="39">
        <f t="shared" si="16"/>
        <v>0</v>
      </c>
      <c r="BR3" s="39">
        <f t="shared" si="17"/>
        <v>0</v>
      </c>
      <c r="BS3" s="39">
        <f t="shared" si="18"/>
        <v>0</v>
      </c>
      <c r="BT3" s="39">
        <f t="shared" si="19"/>
        <v>0</v>
      </c>
      <c r="BU3" s="39">
        <f t="shared" si="20"/>
        <v>0</v>
      </c>
      <c r="BV3" s="134">
        <f t="shared" si="21"/>
        <v>0</v>
      </c>
      <c r="BW3" s="39">
        <f t="shared" si="22"/>
        <v>3</v>
      </c>
      <c r="BX3" s="54"/>
      <c r="BY3" s="56"/>
      <c r="BZ3" s="121">
        <f t="shared" ref="BZ3:BZ6" si="26">SUM(BC3:BM3)</f>
        <v>1.9999780319482983</v>
      </c>
      <c r="CA3" s="121">
        <f>BQ3+BR3+BW3</f>
        <v>3</v>
      </c>
      <c r="CB3" s="131"/>
    </row>
    <row r="4" spans="1:80" ht="16" customHeight="1">
      <c r="A4" s="4">
        <v>1</v>
      </c>
      <c r="B4" s="5" t="s">
        <v>41</v>
      </c>
      <c r="C4" s="15" t="s">
        <v>51</v>
      </c>
      <c r="D4" s="15"/>
      <c r="E4" s="124"/>
      <c r="F4" s="124"/>
      <c r="G4" s="124"/>
      <c r="H4" s="124"/>
      <c r="I4" s="56">
        <v>13.782999999999999</v>
      </c>
      <c r="J4" s="56"/>
      <c r="K4" s="56"/>
      <c r="L4" s="56"/>
      <c r="M4" s="56">
        <v>54.811</v>
      </c>
      <c r="N4" s="56"/>
      <c r="O4" s="56"/>
      <c r="P4" s="56"/>
      <c r="Q4" s="56"/>
      <c r="R4" s="56"/>
      <c r="S4" s="56"/>
      <c r="T4" s="56"/>
      <c r="U4" s="56"/>
      <c r="V4" s="56"/>
      <c r="W4" s="56"/>
      <c r="X4" s="56"/>
      <c r="Y4" s="56"/>
      <c r="Z4" s="56"/>
      <c r="AA4" s="56"/>
      <c r="AB4" s="56"/>
      <c r="AC4" s="56">
        <v>31.407</v>
      </c>
      <c r="AD4" s="54"/>
      <c r="AE4" s="24">
        <f t="shared" si="23"/>
        <v>100.00099999999999</v>
      </c>
      <c r="AF4" s="24"/>
      <c r="AG4" s="73">
        <f t="shared" si="0"/>
        <v>-3.0146760722182332E-5</v>
      </c>
      <c r="AH4" s="114"/>
      <c r="AI4" s="103">
        <f t="shared" si="1"/>
        <v>-6.0293142527534371E-5</v>
      </c>
      <c r="AJ4" s="103">
        <f t="shared" si="24"/>
        <v>2.0000477240697245</v>
      </c>
      <c r="AK4" s="114"/>
      <c r="AL4" s="114"/>
      <c r="AM4" s="114"/>
      <c r="AN4" s="114"/>
      <c r="AO4" s="125"/>
      <c r="AP4" s="125"/>
      <c r="AQ4" s="125"/>
      <c r="AR4" s="125"/>
      <c r="AS4" s="125"/>
      <c r="AT4" s="125"/>
      <c r="AU4" s="126"/>
      <c r="AV4" s="44" t="s">
        <v>26</v>
      </c>
      <c r="AW4" s="124"/>
      <c r="AX4" s="127" t="s">
        <v>14</v>
      </c>
      <c r="AY4" s="128">
        <v>4</v>
      </c>
      <c r="AZ4" s="124"/>
      <c r="BA4" s="129">
        <f t="shared" si="25"/>
        <v>1.9629988437138661</v>
      </c>
      <c r="BB4" s="121"/>
      <c r="BC4" s="39">
        <f t="shared" si="2"/>
        <v>1.0000213578220334</v>
      </c>
      <c r="BD4" s="39">
        <f t="shared" si="3"/>
        <v>0</v>
      </c>
      <c r="BE4" s="39">
        <f t="shared" si="4"/>
        <v>0</v>
      </c>
      <c r="BF4" s="39">
        <f t="shared" si="5"/>
        <v>0</v>
      </c>
      <c r="BG4" s="130">
        <f t="shared" si="6"/>
        <v>1.999987430927197</v>
      </c>
      <c r="BH4" s="39">
        <f t="shared" si="7"/>
        <v>0</v>
      </c>
      <c r="BI4" s="39">
        <f t="shared" si="8"/>
        <v>0</v>
      </c>
      <c r="BJ4" s="39">
        <f t="shared" si="9"/>
        <v>0</v>
      </c>
      <c r="BK4" s="39">
        <f t="shared" si="10"/>
        <v>0</v>
      </c>
      <c r="BL4" s="39">
        <f t="shared" si="11"/>
        <v>0</v>
      </c>
      <c r="BM4" s="39">
        <f t="shared" si="12"/>
        <v>0</v>
      </c>
      <c r="BN4" s="39">
        <f t="shared" si="13"/>
        <v>0</v>
      </c>
      <c r="BO4" s="39">
        <f t="shared" si="14"/>
        <v>0</v>
      </c>
      <c r="BP4" s="39">
        <f t="shared" si="15"/>
        <v>0</v>
      </c>
      <c r="BQ4" s="39">
        <f t="shared" si="16"/>
        <v>0</v>
      </c>
      <c r="BR4" s="39">
        <f t="shared" si="17"/>
        <v>0</v>
      </c>
      <c r="BS4" s="39">
        <f t="shared" si="18"/>
        <v>0</v>
      </c>
      <c r="BT4" s="39">
        <f t="shared" si="19"/>
        <v>0</v>
      </c>
      <c r="BU4" s="39">
        <f t="shared" si="20"/>
        <v>0</v>
      </c>
      <c r="BV4" s="134">
        <f t="shared" si="21"/>
        <v>0</v>
      </c>
      <c r="BW4" s="39">
        <f t="shared" si="22"/>
        <v>4</v>
      </c>
      <c r="BX4" s="54"/>
      <c r="BY4" s="56"/>
      <c r="BZ4" s="121">
        <f t="shared" si="26"/>
        <v>3.0000087887492306</v>
      </c>
      <c r="CA4" s="121">
        <f t="shared" ref="CA4:CA6" si="27">BQ4+BR4+BW4</f>
        <v>4</v>
      </c>
      <c r="CB4" s="131"/>
    </row>
    <row r="5" spans="1:80" ht="16" customHeight="1">
      <c r="A5" s="4">
        <v>1</v>
      </c>
      <c r="B5" s="5" t="s">
        <v>41</v>
      </c>
      <c r="C5" s="15" t="s">
        <v>51</v>
      </c>
      <c r="D5" s="15"/>
      <c r="E5" s="124"/>
      <c r="F5" s="124"/>
      <c r="G5" s="124"/>
      <c r="H5" s="124"/>
      <c r="I5" s="134"/>
      <c r="J5" s="134"/>
      <c r="K5" s="134"/>
      <c r="L5" s="134"/>
      <c r="M5" s="134">
        <v>72.36</v>
      </c>
      <c r="N5" s="134"/>
      <c r="O5" s="134"/>
      <c r="P5" s="134"/>
      <c r="Q5" s="134"/>
      <c r="R5" s="134"/>
      <c r="S5" s="134"/>
      <c r="T5" s="139"/>
      <c r="U5" s="139"/>
      <c r="V5" s="56"/>
      <c r="W5" s="56"/>
      <c r="X5" s="56"/>
      <c r="Y5" s="56"/>
      <c r="Z5" s="56"/>
      <c r="AA5" s="56"/>
      <c r="AB5" s="56"/>
      <c r="AC5" s="56">
        <f>27.64</f>
        <v>27.64</v>
      </c>
      <c r="AD5" s="54"/>
      <c r="AE5" s="24">
        <f t="shared" si="23"/>
        <v>100</v>
      </c>
      <c r="AF5" s="24"/>
      <c r="AG5" s="73">
        <f t="shared" si="0"/>
        <v>0.66651156922727928</v>
      </c>
      <c r="AH5" s="114"/>
      <c r="AI5" s="103">
        <f t="shared" si="1"/>
        <v>1.9996510104636096</v>
      </c>
      <c r="AJ5" s="103">
        <f t="shared" si="24"/>
        <v>1.0005234843045856</v>
      </c>
      <c r="AK5" s="114"/>
      <c r="AL5" s="114"/>
      <c r="AM5" s="114"/>
      <c r="AN5" s="114"/>
      <c r="AO5" s="125"/>
      <c r="AP5" s="125"/>
      <c r="AQ5" s="125"/>
      <c r="AR5" s="125"/>
      <c r="AS5" s="125"/>
      <c r="AT5" s="125"/>
      <c r="AU5" s="126"/>
      <c r="AV5" s="44" t="s">
        <v>38</v>
      </c>
      <c r="AW5" s="124"/>
      <c r="AX5" s="127" t="s">
        <v>14</v>
      </c>
      <c r="AY5" s="128">
        <v>4</v>
      </c>
      <c r="AZ5" s="124"/>
      <c r="BA5" s="129">
        <f t="shared" si="25"/>
        <v>1.7275539860620646</v>
      </c>
      <c r="BB5" s="121"/>
      <c r="BC5" s="39">
        <f t="shared" si="2"/>
        <v>0</v>
      </c>
      <c r="BD5" s="39">
        <f t="shared" si="3"/>
        <v>0</v>
      </c>
      <c r="BE5" s="39">
        <f t="shared" si="4"/>
        <v>0</v>
      </c>
      <c r="BF5" s="39">
        <f t="shared" si="5"/>
        <v>0</v>
      </c>
      <c r="BG5" s="130">
        <f t="shared" si="6"/>
        <v>3.0001744947681952</v>
      </c>
      <c r="BH5" s="39">
        <f t="shared" si="7"/>
        <v>0</v>
      </c>
      <c r="BI5" s="39">
        <f t="shared" si="8"/>
        <v>0</v>
      </c>
      <c r="BJ5" s="39">
        <f t="shared" si="9"/>
        <v>0</v>
      </c>
      <c r="BK5" s="39">
        <f t="shared" si="10"/>
        <v>0</v>
      </c>
      <c r="BL5" s="39">
        <f t="shared" si="11"/>
        <v>0</v>
      </c>
      <c r="BM5" s="39">
        <f t="shared" si="12"/>
        <v>0</v>
      </c>
      <c r="BN5" s="39">
        <f t="shared" si="13"/>
        <v>0</v>
      </c>
      <c r="BO5" s="39">
        <f t="shared" si="14"/>
        <v>0</v>
      </c>
      <c r="BP5" s="39">
        <f t="shared" si="15"/>
        <v>0</v>
      </c>
      <c r="BQ5" s="39">
        <f t="shared" si="16"/>
        <v>0</v>
      </c>
      <c r="BR5" s="39">
        <f t="shared" si="17"/>
        <v>0</v>
      </c>
      <c r="BS5" s="39">
        <f t="shared" si="18"/>
        <v>0</v>
      </c>
      <c r="BT5" s="39">
        <f t="shared" si="19"/>
        <v>0</v>
      </c>
      <c r="BU5" s="39">
        <f t="shared" si="20"/>
        <v>0</v>
      </c>
      <c r="BV5" s="134">
        <f t="shared" si="21"/>
        <v>0</v>
      </c>
      <c r="BW5" s="39">
        <f t="shared" si="22"/>
        <v>4</v>
      </c>
      <c r="BX5" s="54"/>
      <c r="BY5" s="56"/>
      <c r="BZ5" s="121">
        <f t="shared" si="26"/>
        <v>3.0001744947681952</v>
      </c>
      <c r="CA5" s="121">
        <f t="shared" si="27"/>
        <v>4</v>
      </c>
      <c r="CB5" s="131"/>
    </row>
    <row r="6" spans="1:80" ht="16" customHeight="1">
      <c r="A6" s="4"/>
      <c r="B6" s="5"/>
      <c r="C6" s="15"/>
      <c r="D6" s="15"/>
      <c r="I6" s="134">
        <v>0.18</v>
      </c>
      <c r="J6" s="134">
        <v>0.41</v>
      </c>
      <c r="K6" s="134"/>
      <c r="L6" s="134">
        <v>3.72</v>
      </c>
      <c r="M6" s="134">
        <v>66.17</v>
      </c>
      <c r="N6" s="134">
        <v>0.38</v>
      </c>
      <c r="O6" s="134">
        <v>1.07</v>
      </c>
      <c r="P6" s="134">
        <v>0.44</v>
      </c>
      <c r="Q6" s="134"/>
      <c r="R6" s="134"/>
      <c r="S6" s="56"/>
      <c r="T6" s="56"/>
      <c r="U6" s="56"/>
      <c r="V6" s="56"/>
      <c r="W6" s="56"/>
      <c r="X6" s="56"/>
      <c r="Y6" s="56"/>
      <c r="Z6" s="56"/>
      <c r="AA6" s="56"/>
      <c r="AB6" s="56"/>
      <c r="AC6" s="56">
        <v>27.95</v>
      </c>
      <c r="AD6" s="54"/>
      <c r="AE6" s="24">
        <f t="shared" si="23"/>
        <v>100.32</v>
      </c>
      <c r="AF6" s="24"/>
      <c r="AG6" s="73">
        <f t="shared" si="0"/>
        <v>0.61832961515780682</v>
      </c>
      <c r="AH6" s="114"/>
      <c r="AI6" s="103">
        <f t="shared" si="1"/>
        <v>1.6775882102717938</v>
      </c>
      <c r="AJ6" s="103">
        <f t="shared" si="24"/>
        <v>1.03550876769464</v>
      </c>
      <c r="AK6" s="114"/>
      <c r="AL6" s="114"/>
      <c r="AM6" s="114"/>
      <c r="AN6" s="114"/>
      <c r="AO6" s="125"/>
      <c r="AP6" s="125"/>
      <c r="AQ6" s="125"/>
      <c r="AR6" s="125"/>
      <c r="AS6" s="125"/>
      <c r="AT6" s="125"/>
      <c r="AU6" s="126"/>
      <c r="AV6" s="44" t="s">
        <v>38</v>
      </c>
      <c r="AW6" s="124"/>
      <c r="AX6" s="127" t="s">
        <v>14</v>
      </c>
      <c r="AY6" s="128">
        <v>4</v>
      </c>
      <c r="AZ6" s="124"/>
      <c r="BA6" s="129">
        <f t="shared" si="25"/>
        <v>1.746929591549736</v>
      </c>
      <c r="BB6" s="121"/>
      <c r="BC6" s="130">
        <f t="shared" si="2"/>
        <v>1.4675153977686569E-2</v>
      </c>
      <c r="BD6" s="130">
        <f t="shared" si="3"/>
        <v>1.9612467506025286E-2</v>
      </c>
      <c r="BE6" s="130">
        <f t="shared" si="4"/>
        <v>0</v>
      </c>
      <c r="BF6" s="130">
        <f t="shared" si="5"/>
        <v>0.16381711193805584</v>
      </c>
      <c r="BG6" s="130">
        <f t="shared" si="6"/>
        <v>2.7130969779664338</v>
      </c>
      <c r="BH6" s="130">
        <f t="shared" si="7"/>
        <v>1.5837961905808561E-2</v>
      </c>
      <c r="BI6" s="130">
        <f t="shared" si="8"/>
        <v>0.10080490773902416</v>
      </c>
      <c r="BJ6" s="130">
        <f t="shared" si="9"/>
        <v>1.7165136378329234E-2</v>
      </c>
      <c r="BK6" s="39">
        <f t="shared" si="10"/>
        <v>0</v>
      </c>
      <c r="BL6" s="39">
        <f t="shared" si="11"/>
        <v>0</v>
      </c>
      <c r="BM6" s="39">
        <f t="shared" si="12"/>
        <v>0</v>
      </c>
      <c r="BN6" s="39">
        <f t="shared" si="13"/>
        <v>0</v>
      </c>
      <c r="BO6" s="39">
        <f t="shared" si="14"/>
        <v>0</v>
      </c>
      <c r="BP6" s="39">
        <f t="shared" si="15"/>
        <v>0</v>
      </c>
      <c r="BQ6" s="39">
        <f t="shared" si="16"/>
        <v>0</v>
      </c>
      <c r="BR6" s="39">
        <f t="shared" si="17"/>
        <v>0</v>
      </c>
      <c r="BS6" s="39">
        <f t="shared" si="18"/>
        <v>0</v>
      </c>
      <c r="BT6" s="39">
        <f t="shared" si="19"/>
        <v>0</v>
      </c>
      <c r="BU6" s="39">
        <f t="shared" si="20"/>
        <v>0</v>
      </c>
      <c r="BV6" s="134">
        <f t="shared" si="21"/>
        <v>0</v>
      </c>
      <c r="BW6" s="39">
        <f t="shared" si="22"/>
        <v>4</v>
      </c>
      <c r="BX6" s="54"/>
      <c r="BY6" s="56"/>
      <c r="BZ6" s="121">
        <f t="shared" si="26"/>
        <v>3.0450097174113635</v>
      </c>
      <c r="CA6" s="121">
        <f t="shared" si="27"/>
        <v>4</v>
      </c>
      <c r="CB6" s="131"/>
    </row>
    <row r="7" spans="1:80" ht="16" customHeight="1">
      <c r="A7" s="4"/>
      <c r="B7" s="57" t="s">
        <v>492</v>
      </c>
      <c r="C7" s="15" t="s">
        <v>494</v>
      </c>
      <c r="D7" s="15" t="s">
        <v>493</v>
      </c>
      <c r="E7" s="39">
        <v>2</v>
      </c>
      <c r="F7" s="39">
        <v>1273</v>
      </c>
      <c r="G7" s="39">
        <v>-12</v>
      </c>
      <c r="I7" s="134">
        <v>0</v>
      </c>
      <c r="J7" s="134">
        <v>1E-3</v>
      </c>
      <c r="K7" s="134">
        <v>35.722999999999999</v>
      </c>
      <c r="L7" s="134">
        <v>2.36</v>
      </c>
      <c r="M7" s="134">
        <v>2.379</v>
      </c>
      <c r="N7" s="134">
        <v>0</v>
      </c>
      <c r="O7" s="134">
        <v>15.664999999999999</v>
      </c>
      <c r="P7" s="134">
        <v>0</v>
      </c>
      <c r="Q7" s="134">
        <v>0</v>
      </c>
      <c r="R7" s="134">
        <v>0</v>
      </c>
      <c r="S7" s="56">
        <v>0</v>
      </c>
      <c r="T7" s="56">
        <v>0</v>
      </c>
      <c r="U7" s="56">
        <v>0</v>
      </c>
      <c r="V7" s="56">
        <v>0</v>
      </c>
      <c r="W7" s="56">
        <v>0</v>
      </c>
      <c r="X7" s="56">
        <v>0</v>
      </c>
      <c r="Y7" s="56">
        <v>0</v>
      </c>
      <c r="Z7" s="56">
        <v>0</v>
      </c>
      <c r="AA7" s="56">
        <v>0</v>
      </c>
      <c r="AB7" s="56">
        <v>0</v>
      </c>
      <c r="AC7" s="56">
        <v>43.872</v>
      </c>
      <c r="AD7" s="54"/>
      <c r="AE7" s="24">
        <f t="shared" ref="AE7" si="28">SUM(I7:AD7)</f>
        <v>100</v>
      </c>
      <c r="AF7" s="24"/>
      <c r="AG7" s="73">
        <f t="shared" si="0"/>
        <v>3.9260210226643562E-2</v>
      </c>
      <c r="AH7" s="114"/>
      <c r="AI7" s="103">
        <f t="shared" si="1"/>
        <v>2.4397516754640775E-3</v>
      </c>
      <c r="AJ7" s="103">
        <f t="shared" ref="AJ7" si="29">BG7-AI7</f>
        <v>5.9703361195805361E-2</v>
      </c>
      <c r="AK7" s="114"/>
      <c r="AL7" s="114"/>
      <c r="AM7" s="114"/>
      <c r="AN7" s="114"/>
      <c r="AO7" s="125"/>
      <c r="AP7" s="125"/>
      <c r="AQ7" s="125"/>
      <c r="AR7" s="125"/>
      <c r="AS7" s="125"/>
      <c r="AT7" s="125"/>
      <c r="AU7" s="126"/>
      <c r="AV7" s="44" t="s">
        <v>38</v>
      </c>
      <c r="AW7" s="124"/>
      <c r="AX7" s="127" t="s">
        <v>14</v>
      </c>
      <c r="AY7" s="128">
        <v>4</v>
      </c>
      <c r="AZ7" s="124"/>
      <c r="BA7" s="129">
        <f t="shared" si="25"/>
        <v>2.7420856901778183</v>
      </c>
      <c r="BB7" s="121"/>
      <c r="BC7" s="132">
        <f t="shared" si="2"/>
        <v>0</v>
      </c>
      <c r="BD7" s="132">
        <f t="shared" si="3"/>
        <v>3.0474932997623174E-5</v>
      </c>
      <c r="BE7" s="132">
        <f t="shared" si="4"/>
        <v>1.9313706676712072</v>
      </c>
      <c r="BF7" s="132">
        <f t="shared" si="5"/>
        <v>6.6209865758416225E-2</v>
      </c>
      <c r="BG7" s="132">
        <f t="shared" si="6"/>
        <v>6.2143112871269439E-2</v>
      </c>
      <c r="BH7" s="132">
        <f t="shared" si="7"/>
        <v>0</v>
      </c>
      <c r="BI7" s="132">
        <f t="shared" si="8"/>
        <v>0.94020526128056847</v>
      </c>
      <c r="BJ7" s="132">
        <f t="shared" si="9"/>
        <v>0</v>
      </c>
      <c r="BK7" s="39">
        <f t="shared" si="10"/>
        <v>0</v>
      </c>
      <c r="BL7" s="39">
        <f t="shared" si="11"/>
        <v>0</v>
      </c>
      <c r="BM7" s="39">
        <f t="shared" si="12"/>
        <v>0</v>
      </c>
      <c r="BN7" s="39">
        <f t="shared" si="13"/>
        <v>0</v>
      </c>
      <c r="BO7" s="39">
        <f t="shared" si="14"/>
        <v>0</v>
      </c>
      <c r="BP7" s="39">
        <f t="shared" si="15"/>
        <v>0</v>
      </c>
      <c r="BQ7" s="39">
        <f t="shared" si="16"/>
        <v>0</v>
      </c>
      <c r="BR7" s="39">
        <f t="shared" si="17"/>
        <v>0</v>
      </c>
      <c r="BS7" s="39">
        <f t="shared" si="18"/>
        <v>0</v>
      </c>
      <c r="BT7" s="39">
        <f t="shared" si="19"/>
        <v>0</v>
      </c>
      <c r="BU7" s="39">
        <f t="shared" si="20"/>
        <v>0</v>
      </c>
      <c r="BV7" s="134">
        <f t="shared" si="21"/>
        <v>0</v>
      </c>
      <c r="BW7" s="39">
        <f t="shared" si="22"/>
        <v>4</v>
      </c>
      <c r="BX7" s="54"/>
      <c r="BY7" s="56"/>
      <c r="BZ7" s="121">
        <f t="shared" ref="BZ7" si="30">SUM(BC7:BM7)</f>
        <v>2.9999593825144588</v>
      </c>
      <c r="CA7" s="121">
        <f t="shared" ref="CA7" si="31">BQ7+BR7+BW7</f>
        <v>4</v>
      </c>
      <c r="CB7" s="131"/>
    </row>
    <row r="8" spans="1:80" ht="16" customHeight="1">
      <c r="A8" s="4"/>
      <c r="B8" s="57" t="s">
        <v>492</v>
      </c>
      <c r="C8" s="15" t="s">
        <v>494</v>
      </c>
      <c r="D8" s="15" t="s">
        <v>493</v>
      </c>
      <c r="E8" s="39">
        <v>2</v>
      </c>
      <c r="F8" s="39">
        <v>1273</v>
      </c>
      <c r="G8" s="39">
        <v>-9</v>
      </c>
      <c r="I8" s="134">
        <v>0</v>
      </c>
      <c r="J8" s="134">
        <v>2E-3</v>
      </c>
      <c r="K8" s="134">
        <v>35.137</v>
      </c>
      <c r="L8" s="134">
        <v>2.3889999999999998</v>
      </c>
      <c r="M8" s="134">
        <v>3.0409999999999999</v>
      </c>
      <c r="N8" s="134">
        <v>0</v>
      </c>
      <c r="O8" s="134">
        <v>15.715</v>
      </c>
      <c r="P8" s="134">
        <v>0</v>
      </c>
      <c r="Q8" s="134">
        <v>0</v>
      </c>
      <c r="R8" s="134">
        <v>0</v>
      </c>
      <c r="S8" s="56">
        <v>0</v>
      </c>
      <c r="T8" s="56">
        <v>0</v>
      </c>
      <c r="U8" s="56">
        <v>0</v>
      </c>
      <c r="V8" s="56">
        <v>0</v>
      </c>
      <c r="W8" s="56">
        <v>0</v>
      </c>
      <c r="X8" s="56">
        <v>0</v>
      </c>
      <c r="Y8" s="56">
        <v>0</v>
      </c>
      <c r="Z8" s="56">
        <v>0</v>
      </c>
      <c r="AA8" s="56">
        <v>0</v>
      </c>
      <c r="AB8" s="56">
        <v>0</v>
      </c>
      <c r="AC8" s="56">
        <v>43.716999999999999</v>
      </c>
      <c r="AD8" s="54"/>
      <c r="AE8" s="24">
        <f t="shared" ref="AE8" si="32">SUM(I8:AD8)</f>
        <v>100.001</v>
      </c>
      <c r="AF8" s="24"/>
      <c r="AG8" s="73">
        <f t="shared" si="0"/>
        <v>0.32822542320132603</v>
      </c>
      <c r="AH8" s="114"/>
      <c r="AI8" s="103">
        <f t="shared" si="1"/>
        <v>2.6165213372594504E-2</v>
      </c>
      <c r="AJ8" s="103">
        <f t="shared" ref="AJ8" si="33">BG8-AI8</f>
        <v>5.3551991703702576E-2</v>
      </c>
      <c r="AK8" s="114"/>
      <c r="AL8" s="114"/>
      <c r="AM8" s="114"/>
      <c r="AN8" s="114"/>
      <c r="AO8" s="125"/>
      <c r="AP8" s="125"/>
      <c r="AQ8" s="125"/>
      <c r="AR8" s="125"/>
      <c r="AS8" s="125"/>
      <c r="AT8" s="125"/>
      <c r="AU8" s="126"/>
      <c r="AV8" s="44" t="s">
        <v>38</v>
      </c>
      <c r="AW8" s="124"/>
      <c r="AX8" s="127" t="s">
        <v>14</v>
      </c>
      <c r="AY8" s="128">
        <v>4</v>
      </c>
      <c r="AZ8" s="124"/>
      <c r="BA8" s="129">
        <f t="shared" ref="BA8" si="34">IF(AX8="O",AC8/15.9995,
IF(AX8="S",AB8/32.065,
IF(AX8="F",W8/18.998403
)))</f>
        <v>2.7323978874339825</v>
      </c>
      <c r="BB8" s="121"/>
      <c r="BC8" s="132">
        <f t="shared" si="2"/>
        <v>0</v>
      </c>
      <c r="BD8" s="132">
        <f t="shared" si="3"/>
        <v>6.116596566423697E-5</v>
      </c>
      <c r="BE8" s="132">
        <f t="shared" si="4"/>
        <v>1.9064238734915187</v>
      </c>
      <c r="BF8" s="132">
        <f t="shared" si="5"/>
        <v>6.7261095359789858E-2</v>
      </c>
      <c r="BG8" s="132">
        <f t="shared" si="6"/>
        <v>7.9717205076297079E-2</v>
      </c>
      <c r="BH8" s="132">
        <f t="shared" si="7"/>
        <v>0</v>
      </c>
      <c r="BI8" s="132">
        <f t="shared" si="8"/>
        <v>0.94655040302911453</v>
      </c>
      <c r="BJ8" s="132">
        <f t="shared" si="9"/>
        <v>0</v>
      </c>
      <c r="BK8" s="39">
        <f t="shared" si="10"/>
        <v>0</v>
      </c>
      <c r="BL8" s="39">
        <f t="shared" si="11"/>
        <v>0</v>
      </c>
      <c r="BM8" s="39">
        <f t="shared" si="12"/>
        <v>0</v>
      </c>
      <c r="BN8" s="39">
        <f t="shared" si="13"/>
        <v>0</v>
      </c>
      <c r="BO8" s="39">
        <f t="shared" si="14"/>
        <v>0</v>
      </c>
      <c r="BP8" s="39">
        <f t="shared" si="15"/>
        <v>0</v>
      </c>
      <c r="BQ8" s="39">
        <f t="shared" si="16"/>
        <v>0</v>
      </c>
      <c r="BR8" s="39">
        <f t="shared" si="17"/>
        <v>0</v>
      </c>
      <c r="BS8" s="39">
        <f t="shared" si="18"/>
        <v>0</v>
      </c>
      <c r="BT8" s="39">
        <f t="shared" si="19"/>
        <v>0</v>
      </c>
      <c r="BU8" s="39">
        <f t="shared" si="20"/>
        <v>0</v>
      </c>
      <c r="BV8" s="134">
        <f t="shared" si="21"/>
        <v>0</v>
      </c>
      <c r="BW8" s="39">
        <f t="shared" si="22"/>
        <v>4</v>
      </c>
      <c r="BX8" s="54"/>
      <c r="BY8" s="56"/>
      <c r="BZ8" s="121">
        <f t="shared" ref="BZ8" si="35">SUM(BC8:BM8)</f>
        <v>3.0000137429223841</v>
      </c>
      <c r="CA8" s="121">
        <f t="shared" ref="CA8" si="36">BQ8+BR8+BW8</f>
        <v>4</v>
      </c>
      <c r="CB8" s="131"/>
    </row>
    <row r="9" spans="1:80" ht="16" customHeight="1">
      <c r="A9" s="4"/>
      <c r="B9" s="5"/>
      <c r="C9" s="15"/>
      <c r="D9" s="15"/>
      <c r="I9" s="60"/>
      <c r="J9" s="60"/>
      <c r="K9" s="60"/>
      <c r="L9" s="60"/>
      <c r="M9" s="60"/>
      <c r="N9" s="60"/>
      <c r="O9" s="60"/>
      <c r="P9" s="60"/>
      <c r="Q9" s="60"/>
      <c r="R9" s="60"/>
      <c r="S9" s="9"/>
      <c r="T9" s="9"/>
      <c r="U9" s="9"/>
      <c r="V9" s="9"/>
      <c r="W9" s="9"/>
      <c r="X9" s="9"/>
      <c r="Y9" s="9"/>
      <c r="Z9" s="9"/>
      <c r="AA9" s="9"/>
      <c r="AB9" s="9"/>
      <c r="AC9" s="9"/>
      <c r="AD9" s="54"/>
      <c r="AE9" s="24"/>
      <c r="AF9" s="24"/>
      <c r="AG9" s="73"/>
      <c r="AH9" s="114"/>
      <c r="AI9" s="103"/>
      <c r="AJ9" s="103"/>
      <c r="AK9" s="114"/>
      <c r="AL9" s="114"/>
      <c r="AM9" s="114"/>
      <c r="AN9" s="114"/>
      <c r="AO9" s="125"/>
      <c r="AP9" s="125"/>
      <c r="AQ9" s="125"/>
      <c r="AR9" s="125"/>
      <c r="AS9" s="125"/>
      <c r="AT9" s="125"/>
      <c r="AU9" s="126"/>
      <c r="AV9" s="68"/>
      <c r="AX9" s="133"/>
      <c r="BA9" s="129"/>
      <c r="BB9" s="121"/>
      <c r="BC9" s="56"/>
      <c r="BD9" s="56"/>
      <c r="BE9" s="56"/>
      <c r="BF9" s="56"/>
      <c r="BG9" s="56"/>
      <c r="BH9" s="56"/>
      <c r="BI9" s="56"/>
      <c r="BJ9" s="56"/>
      <c r="BK9" s="56"/>
      <c r="BL9" s="56"/>
      <c r="BM9" s="56"/>
      <c r="BN9" s="56"/>
      <c r="BO9" s="56"/>
      <c r="BP9" s="56"/>
      <c r="BQ9" s="134"/>
      <c r="BR9" s="56"/>
      <c r="BS9" s="56"/>
      <c r="BT9" s="56"/>
      <c r="BU9" s="56"/>
      <c r="BV9" s="134"/>
      <c r="BW9" s="56"/>
      <c r="BX9" s="54"/>
      <c r="BY9" s="56"/>
      <c r="BZ9" s="121"/>
      <c r="CA9" s="121"/>
      <c r="CB9" s="131"/>
    </row>
    <row r="10" spans="1:80" ht="16" customHeight="1">
      <c r="A10" s="4"/>
      <c r="B10" s="5" t="s">
        <v>502</v>
      </c>
      <c r="C10" s="15"/>
      <c r="D10" s="15"/>
      <c r="I10" s="9">
        <v>19.940000000000001</v>
      </c>
      <c r="J10" s="9"/>
      <c r="K10" s="9">
        <v>0.91900000000000004</v>
      </c>
      <c r="L10" s="9"/>
      <c r="M10" s="9">
        <v>3.6480000000000001</v>
      </c>
      <c r="N10" s="9"/>
      <c r="O10" s="9">
        <v>23.361000000000001</v>
      </c>
      <c r="P10" s="9"/>
      <c r="Q10" s="9"/>
      <c r="R10" s="9"/>
      <c r="S10" s="9"/>
      <c r="T10" s="9"/>
      <c r="U10" s="9"/>
      <c r="V10" s="9"/>
      <c r="W10" s="9"/>
      <c r="X10" s="9"/>
      <c r="Y10" s="9"/>
      <c r="Z10" s="9"/>
      <c r="AA10" s="9">
        <v>1.349</v>
      </c>
      <c r="AB10" s="9"/>
      <c r="AC10" s="9">
        <v>50.783000000000001</v>
      </c>
      <c r="AD10" s="54"/>
      <c r="AE10" s="24">
        <f t="shared" ref="AE10" si="37">SUM(I10:AD10)</f>
        <v>100</v>
      </c>
      <c r="AF10" s="24"/>
      <c r="AG10" s="73">
        <f>AI10/(AI10+AJ10)</f>
        <v>0.21901148329352255</v>
      </c>
      <c r="AH10" s="114"/>
      <c r="AI10" s="103">
        <f t="shared" si="1"/>
        <v>3.8978034669252093E-2</v>
      </c>
      <c r="AJ10" s="103">
        <f t="shared" ref="AJ10" si="38">BG10-AI10</f>
        <v>0.13899452678321356</v>
      </c>
      <c r="AK10" s="114"/>
      <c r="AL10" s="114"/>
      <c r="AM10" s="114"/>
      <c r="AN10" s="114"/>
      <c r="AO10" s="125"/>
      <c r="AP10" s="125"/>
      <c r="AQ10" s="125"/>
      <c r="AR10" s="125"/>
      <c r="AS10" s="125"/>
      <c r="AT10" s="125"/>
      <c r="AU10" s="126"/>
      <c r="AV10" s="44" t="s">
        <v>25</v>
      </c>
      <c r="AW10" s="124"/>
      <c r="AX10" s="127" t="s">
        <v>14</v>
      </c>
      <c r="AY10" s="144">
        <v>8.6475000000000009</v>
      </c>
      <c r="AZ10" s="124"/>
      <c r="BA10" s="129">
        <f t="shared" ref="BA10" si="39">IF(AX10="O",AC10/15.9995,
IF(AX10="S",AB10/32.065,
IF(AX10="F",W10/18.998403
)))</f>
        <v>3.1740366886465203</v>
      </c>
      <c r="BB10" s="121"/>
      <c r="BC10" s="134">
        <f t="shared" ref="BC10" si="40">I10/28.085/BA10*AY10</f>
        <v>1.9343245953520094</v>
      </c>
      <c r="BD10" s="134">
        <f t="shared" ref="BD10" si="41">J10/47.867/BA10*AY10</f>
        <v>0</v>
      </c>
      <c r="BE10" s="134">
        <f t="shared" ref="BE10" si="42">K10/26.9812/BA10*AY10</f>
        <v>9.2796773961908829E-2</v>
      </c>
      <c r="BF10" s="134">
        <f t="shared" ref="BF10" si="43">L10/51.9958/BA10*AY10</f>
        <v>0</v>
      </c>
      <c r="BG10" s="134">
        <f t="shared" ref="BG10" si="44">M10/55.8445/BA10*AY10</f>
        <v>0.17797256145246565</v>
      </c>
      <c r="BH10" s="134">
        <f t="shared" ref="BH10" si="45">N10/54.9375/BA10*AY10</f>
        <v>0</v>
      </c>
      <c r="BI10" s="134">
        <f t="shared" ref="BI10" si="46">O10/24.3045/BA10*AY10</f>
        <v>2.6186856394042413</v>
      </c>
      <c r="BJ10" s="134">
        <f t="shared" ref="BJ10" si="47">P10/58.6935/BA10*AY10</f>
        <v>0</v>
      </c>
      <c r="BK10" s="134">
        <f t="shared" ref="BK10" si="48">Q10/40.0775/BA10*AY10</f>
        <v>0</v>
      </c>
      <c r="BL10" s="134">
        <f t="shared" ref="BL10" si="49">R10/22.9898/BA10*AY10</f>
        <v>0</v>
      </c>
      <c r="BM10" s="134">
        <f t="shared" ref="BM10" si="50">S10/39.0983/BA10*AY10</f>
        <v>0</v>
      </c>
      <c r="BN10" s="134">
        <f t="shared" ref="BN10" si="51">T10/41.096/BA10*AY10</f>
        <v>0</v>
      </c>
      <c r="BO10" s="134">
        <f t="shared" ref="BO10" si="52">U10/91.221/BA10*AY10</f>
        <v>0</v>
      </c>
      <c r="BP10" s="134">
        <f t="shared" ref="BP10" si="53">V10/63.5455/BA10*AY10</f>
        <v>0</v>
      </c>
      <c r="BQ10" s="134">
        <f t="shared" ref="BQ10" si="54">2*W10/37.9968/BA10*AY10</f>
        <v>0</v>
      </c>
      <c r="BR10" s="134">
        <f t="shared" ref="BR10" si="55">2*X10/70.906/BA10*AY10</f>
        <v>0</v>
      </c>
      <c r="BS10" s="134">
        <f t="shared" ref="BS10" si="56">2*Y10/28.013/BA10*AY10</f>
        <v>0</v>
      </c>
      <c r="BT10" s="134">
        <f t="shared" ref="BT10" si="57">Z10/12.011/BA10*AY10</f>
        <v>0</v>
      </c>
      <c r="BU10" s="134">
        <f t="shared" ref="BU10" si="58">2*AB10/64.13/BA10*AY10</f>
        <v>0</v>
      </c>
      <c r="BV10" s="134">
        <f t="shared" si="21"/>
        <v>3.6470168603235726</v>
      </c>
      <c r="BW10" s="134">
        <f t="shared" ref="BW10" si="59">2*AC10/31.999/BA10*AY10</f>
        <v>8.6475000000000009</v>
      </c>
      <c r="BX10" s="54"/>
      <c r="BY10" s="56"/>
      <c r="BZ10" s="121">
        <f t="shared" ref="BZ10" si="60">SUM(BC10:BM10)</f>
        <v>4.8237795701706254</v>
      </c>
      <c r="CA10" s="121">
        <f t="shared" ref="CA10" si="61">BQ10+BR10+BW10</f>
        <v>8.6475000000000009</v>
      </c>
      <c r="CB10" s="131"/>
    </row>
    <row r="11" spans="1:80" ht="16" customHeight="1">
      <c r="A11" s="4"/>
      <c r="B11" s="5" t="s">
        <v>502</v>
      </c>
      <c r="C11" s="15"/>
      <c r="D11" s="15"/>
      <c r="I11" s="9">
        <v>19.940000000000001</v>
      </c>
      <c r="J11" s="9"/>
      <c r="K11" s="9">
        <v>0.91900000000000004</v>
      </c>
      <c r="L11" s="9"/>
      <c r="M11" s="9">
        <v>3.6480000000000001</v>
      </c>
      <c r="N11" s="9"/>
      <c r="O11" s="9">
        <v>23.361000000000001</v>
      </c>
      <c r="P11" s="9"/>
      <c r="Q11" s="9"/>
      <c r="R11" s="9"/>
      <c r="S11" s="9"/>
      <c r="T11" s="9"/>
      <c r="U11" s="9"/>
      <c r="V11" s="9"/>
      <c r="W11" s="9"/>
      <c r="X11" s="9"/>
      <c r="Y11" s="9"/>
      <c r="Z11" s="9"/>
      <c r="AA11" s="9">
        <v>1.349</v>
      </c>
      <c r="AB11" s="9"/>
      <c r="AC11" s="9">
        <v>50.783000000000001</v>
      </c>
      <c r="AD11" s="54"/>
      <c r="AE11" s="24">
        <f t="shared" ref="AE11" si="62">SUM(I11:AD11)</f>
        <v>100</v>
      </c>
      <c r="AF11" s="24"/>
      <c r="AG11" s="73">
        <f>AI11/(AI11+AJ11)</f>
        <v>0.2190114832935055</v>
      </c>
      <c r="AH11" s="114"/>
      <c r="AI11" s="103">
        <f>(BW11*2-(BC11*4+BD11*4+BE11*3+BF11*3+BH11*2+BI11*2+BJ11*2+BK11*2+BL11+BM11+BN11*5+BO11*4+BP11*2-BQ11-BR11+BT11*4+BV11))-BG11*2</f>
        <v>0.66259278362296747</v>
      </c>
      <c r="AJ11" s="103">
        <f t="shared" ref="AJ11" si="63">BG11-AI11</f>
        <v>2.3627864049878964</v>
      </c>
      <c r="AK11" s="114"/>
      <c r="AL11" s="114"/>
      <c r="AM11" s="114"/>
      <c r="AN11" s="114"/>
      <c r="AO11" s="125"/>
      <c r="AP11" s="125"/>
      <c r="AQ11" s="125"/>
      <c r="AR11" s="125"/>
      <c r="AS11" s="125"/>
      <c r="AT11" s="125"/>
      <c r="AU11" s="126"/>
      <c r="AV11" s="44" t="s">
        <v>25</v>
      </c>
      <c r="AW11" s="124"/>
      <c r="AX11" s="127" t="s">
        <v>14</v>
      </c>
      <c r="AY11" s="144">
        <v>147</v>
      </c>
      <c r="AZ11" s="124"/>
      <c r="BA11" s="129">
        <f t="shared" ref="BA11" si="64">IF(AX11="O",AC11/15.9995,
IF(AX11="S",AB11/32.065,
IF(AX11="F",W11/18.998403
)))</f>
        <v>3.1740366886465203</v>
      </c>
      <c r="BB11" s="121"/>
      <c r="BC11" s="134">
        <f t="shared" ref="BC11" si="65">I11/28.085/BA11*AY11</f>
        <v>32.88184047606191</v>
      </c>
      <c r="BD11" s="134">
        <f t="shared" ref="BD11" si="66">J11/47.867/BA11*AY11</f>
        <v>0</v>
      </c>
      <c r="BE11" s="134">
        <f t="shared" ref="BE11" si="67">K11/26.9812/BA11*AY11</f>
        <v>1.5774646744608958</v>
      </c>
      <c r="BF11" s="134">
        <f t="shared" ref="BF11" si="68">L11/51.9958/BA11*AY11</f>
        <v>0</v>
      </c>
      <c r="BG11" s="134">
        <f t="shared" ref="BG11" si="69">M11/55.8445/BA11*AY11</f>
        <v>3.0253791886108639</v>
      </c>
      <c r="BH11" s="134">
        <f t="shared" ref="BH11" si="70">N11/54.9375/BA11*AY11</f>
        <v>0</v>
      </c>
      <c r="BI11" s="134">
        <f t="shared" ref="BI11" si="71">O11/24.3045/BA11*AY11</f>
        <v>44.515384676776343</v>
      </c>
      <c r="BJ11" s="134">
        <f t="shared" ref="BJ11" si="72">P11/58.6935/BA11*AY11</f>
        <v>0</v>
      </c>
      <c r="BK11" s="134">
        <f t="shared" ref="BK11" si="73">Q11/40.0775/BA11*AY11</f>
        <v>0</v>
      </c>
      <c r="BL11" s="134">
        <f t="shared" ref="BL11" si="74">R11/22.9898/BA11*AY11</f>
        <v>0</v>
      </c>
      <c r="BM11" s="134">
        <f t="shared" ref="BM11" si="75">S11/39.0983/BA11*AY11</f>
        <v>0</v>
      </c>
      <c r="BN11" s="134">
        <f t="shared" ref="BN11" si="76">T11/41.096/BA11*AY11</f>
        <v>0</v>
      </c>
      <c r="BO11" s="134">
        <f t="shared" ref="BO11" si="77">U11/91.221/BA11*AY11</f>
        <v>0</v>
      </c>
      <c r="BP11" s="134">
        <f t="shared" ref="BP11" si="78">V11/63.5455/BA11*AY11</f>
        <v>0</v>
      </c>
      <c r="BQ11" s="134">
        <f t="shared" ref="BQ11" si="79">2*W11/37.9968/BA11*AY11</f>
        <v>0</v>
      </c>
      <c r="BR11" s="134">
        <f t="shared" ref="BR11" si="80">2*X11/70.906/BA11*AY11</f>
        <v>0</v>
      </c>
      <c r="BS11" s="134">
        <f t="shared" ref="BS11" si="81">2*Y11/28.013/BA11*AY11</f>
        <v>0</v>
      </c>
      <c r="BT11" s="134">
        <f t="shared" ref="BT11" si="82">Z11/12.011/BA11*AY11</f>
        <v>0</v>
      </c>
      <c r="BU11" s="134">
        <f>2*AB11/64.13/BA11*AY11</f>
        <v>0</v>
      </c>
      <c r="BV11" s="134">
        <f>AA11/1.00775/BA11*AY11</f>
        <v>61.996123557972261</v>
      </c>
      <c r="BW11" s="134">
        <f t="shared" ref="BW11" si="83">2*AC11/31.999/BA11*AY11</f>
        <v>147</v>
      </c>
      <c r="BX11" s="54"/>
      <c r="BY11" s="9"/>
      <c r="BZ11" s="145">
        <f t="shared" ref="BZ11" si="84">SUM(BC11:BM11)</f>
        <v>82.000069015910015</v>
      </c>
      <c r="CA11" s="145">
        <f t="shared" ref="CA11" si="85">BQ11+BR11+BW11</f>
        <v>147</v>
      </c>
      <c r="CB11" s="131"/>
    </row>
    <row r="12" spans="1:80" ht="16" customHeight="1">
      <c r="A12" s="4"/>
      <c r="B12" s="5" t="s">
        <v>506</v>
      </c>
      <c r="C12" s="15"/>
      <c r="D12" s="15"/>
      <c r="I12" s="9">
        <f>15.075</f>
        <v>15.074999999999999</v>
      </c>
      <c r="J12" s="9"/>
      <c r="K12" s="9">
        <f>9.425</f>
        <v>9.4250000000000007</v>
      </c>
      <c r="L12" s="9"/>
      <c r="M12" s="9">
        <f>1.629</f>
        <v>1.629</v>
      </c>
      <c r="N12" s="9"/>
      <c r="O12" s="9">
        <f>21.088</f>
        <v>21.088000000000001</v>
      </c>
      <c r="P12" s="9"/>
      <c r="Q12" s="9"/>
      <c r="R12" s="9"/>
      <c r="S12" s="9"/>
      <c r="T12" s="9"/>
      <c r="U12" s="9"/>
      <c r="V12" s="9"/>
      <c r="W12" s="9"/>
      <c r="X12" s="9"/>
      <c r="Y12" s="9"/>
      <c r="Z12" s="9"/>
      <c r="AA12" s="9">
        <f>1.437</f>
        <v>1.4370000000000001</v>
      </c>
      <c r="AB12" s="9"/>
      <c r="AC12" s="9">
        <f>51.346</f>
        <v>51.345999999999997</v>
      </c>
      <c r="AD12" s="54"/>
      <c r="AE12" s="24">
        <f t="shared" ref="AE12" si="86">SUM(I12:AD12)</f>
        <v>100</v>
      </c>
      <c r="AF12" s="24"/>
      <c r="AG12" s="73">
        <f>AI12/(AI12+AJ12)</f>
        <v>0.13161030259105827</v>
      </c>
      <c r="AH12" s="114"/>
      <c r="AI12" s="103">
        <f>(BW12*2-(BC12*4+BD12*4+BE12*3+BF12*3+BH12*2+BI12*2+BJ12*2+BK12*2+BL12+BM12+BN12*5+BO12*4+BP12*2-BQ12-BR12+BT12*4+BV12))-BG12*2</f>
        <v>4.3065833807883758E-2</v>
      </c>
      <c r="AJ12" s="103">
        <f t="shared" ref="AJ12" si="87">BG12-AI12</f>
        <v>0.28415652614442666</v>
      </c>
      <c r="AK12" s="114"/>
      <c r="AL12" s="114"/>
      <c r="AM12" s="114"/>
      <c r="AN12" s="114"/>
      <c r="AO12" s="125"/>
      <c r="AP12" s="125"/>
      <c r="AQ12" s="125"/>
      <c r="AR12" s="125"/>
      <c r="AS12" s="125"/>
      <c r="AT12" s="125"/>
      <c r="AU12" s="126"/>
      <c r="AV12" s="44" t="s">
        <v>31</v>
      </c>
      <c r="AW12" s="124"/>
      <c r="AX12" s="127" t="s">
        <v>14</v>
      </c>
      <c r="AY12" s="144">
        <v>36</v>
      </c>
      <c r="AZ12" s="124"/>
      <c r="BA12" s="129">
        <f t="shared" ref="BA12" si="88">IF(AX12="O",AC12/15.9995,
IF(AX12="S",AB12/32.065,
IF(AX12="F",W12/18.998403
)))</f>
        <v>3.2092252882902588</v>
      </c>
      <c r="BB12" s="121"/>
      <c r="BC12" s="134">
        <f t="shared" ref="BC12" si="89">I12/28.085/BA12*AY12</f>
        <v>6.0212295959479034</v>
      </c>
      <c r="BD12" s="134">
        <f t="shared" ref="BD12" si="90">J12/47.867/BA12*AY12</f>
        <v>0</v>
      </c>
      <c r="BE12" s="134">
        <f t="shared" ref="BE12" si="91">K12/26.9812/BA12*AY12</f>
        <v>3.9185229322890378</v>
      </c>
      <c r="BF12" s="134">
        <f t="shared" ref="BF12" si="92">L12/51.9958/BA12*AY12</f>
        <v>0</v>
      </c>
      <c r="BG12" s="134">
        <f t="shared" ref="BG12" si="93">M12/55.8445/BA12*AY12</f>
        <v>0.32722235995231042</v>
      </c>
      <c r="BH12" s="134">
        <f t="shared" ref="BH12" si="94">N12/54.9375/BA12*AY12</f>
        <v>0</v>
      </c>
      <c r="BI12" s="134">
        <f t="shared" ref="BI12" si="95">O12/24.3045/BA12*AY12</f>
        <v>9.733095774579283</v>
      </c>
      <c r="BJ12" s="134">
        <f t="shared" ref="BJ12" si="96">P12/58.6935/BA12*AY12</f>
        <v>0</v>
      </c>
      <c r="BK12" s="134">
        <f t="shared" ref="BK12" si="97">Q12/40.0775/BA12*AY12</f>
        <v>0</v>
      </c>
      <c r="BL12" s="134">
        <f t="shared" ref="BL12" si="98">R12/22.9898/BA12*AY12</f>
        <v>0</v>
      </c>
      <c r="BM12" s="134">
        <f t="shared" ref="BM12" si="99">S12/39.0983/BA12*AY12</f>
        <v>0</v>
      </c>
      <c r="BN12" s="134">
        <f t="shared" ref="BN12" si="100">T12/41.096/BA12*AY12</f>
        <v>0</v>
      </c>
      <c r="BO12" s="134">
        <f t="shared" ref="BO12" si="101">U12/91.221/BA12*AY12</f>
        <v>0</v>
      </c>
      <c r="BP12" s="134">
        <f t="shared" ref="BP12" si="102">V12/63.5455/BA12*AY12</f>
        <v>0</v>
      </c>
      <c r="BQ12" s="134">
        <f t="shared" ref="BQ12" si="103">2*W12/37.9968/BA12*AY12</f>
        <v>0</v>
      </c>
      <c r="BR12" s="134">
        <f t="shared" ref="BR12" si="104">2*X12/70.906/BA12*AY12</f>
        <v>0</v>
      </c>
      <c r="BS12" s="134">
        <f t="shared" ref="BS12" si="105">2*Y12/28.013/BA12*AY12</f>
        <v>0</v>
      </c>
      <c r="BT12" s="134">
        <f t="shared" ref="BT12" si="106">Z12/12.011/BA12*AY12</f>
        <v>0</v>
      </c>
      <c r="BU12" s="134">
        <f>2*AB12/64.13/BA12*AY12</f>
        <v>0</v>
      </c>
      <c r="BV12" s="134">
        <f>AA12/1.00775/BA12*AY12</f>
        <v>15.995810716470205</v>
      </c>
      <c r="BW12" s="134">
        <f t="shared" ref="BW12" si="107">2*AC12/31.999/BA12*AY12</f>
        <v>36</v>
      </c>
      <c r="BX12" s="54"/>
      <c r="BY12" s="9"/>
      <c r="BZ12" s="145">
        <f t="shared" ref="BZ12" si="108">SUM(BC12:BM12)</f>
        <v>20.000070662768536</v>
      </c>
      <c r="CA12" s="145">
        <f t="shared" ref="CA12" si="109">BQ12+BR12+BW12</f>
        <v>36</v>
      </c>
      <c r="CB12" s="131"/>
    </row>
    <row r="14" spans="1:80" ht="16" customHeight="1">
      <c r="A14" s="4"/>
      <c r="B14" s="5"/>
      <c r="C14" s="15"/>
      <c r="D14" s="15"/>
      <c r="I14" s="60"/>
      <c r="J14" s="60"/>
      <c r="K14" s="60"/>
      <c r="L14" s="60"/>
      <c r="M14" s="60"/>
      <c r="N14" s="60"/>
      <c r="O14" s="60"/>
      <c r="P14" s="60"/>
      <c r="Q14" s="60"/>
      <c r="R14" s="60"/>
      <c r="S14" s="9"/>
      <c r="T14" s="9"/>
      <c r="U14" s="9"/>
      <c r="V14" s="9"/>
      <c r="W14" s="9"/>
      <c r="X14" s="9"/>
      <c r="Y14" s="9"/>
      <c r="Z14" s="9"/>
      <c r="AA14" s="9"/>
      <c r="AB14" s="9"/>
      <c r="AC14" s="9"/>
      <c r="AD14" s="54"/>
      <c r="AE14" s="24"/>
      <c r="AF14" s="86"/>
      <c r="AG14" s="135"/>
      <c r="AH14" s="125"/>
      <c r="AI14" s="103"/>
      <c r="AJ14" s="103"/>
      <c r="AK14" s="114"/>
      <c r="AL14" s="114"/>
      <c r="AM14" s="114"/>
      <c r="AN14" s="114"/>
      <c r="AO14" s="125"/>
      <c r="AP14" s="125"/>
      <c r="AQ14" s="125"/>
      <c r="AR14" s="125"/>
      <c r="AS14" s="125"/>
      <c r="AT14" s="125"/>
      <c r="AU14" s="126"/>
      <c r="AV14" s="68"/>
      <c r="AX14" s="133"/>
      <c r="BA14" s="129"/>
      <c r="BB14" s="121"/>
      <c r="BC14" s="56"/>
      <c r="BD14" s="56"/>
      <c r="BE14" s="56"/>
      <c r="BF14" s="56"/>
      <c r="BG14" s="56"/>
      <c r="BH14" s="56"/>
      <c r="BI14" s="56"/>
      <c r="BJ14" s="56"/>
      <c r="BK14" s="56"/>
      <c r="BL14" s="56"/>
      <c r="BM14" s="56"/>
      <c r="BN14" s="56"/>
      <c r="BO14" s="56"/>
      <c r="BP14" s="56"/>
      <c r="BQ14" s="134"/>
      <c r="BR14" s="56"/>
      <c r="BS14" s="56"/>
      <c r="BT14" s="56"/>
      <c r="BU14" s="56"/>
      <c r="BV14" s="56"/>
      <c r="BW14" s="56"/>
      <c r="BX14" s="54"/>
      <c r="BY14" s="56"/>
      <c r="BZ14" s="121"/>
      <c r="CA14" s="121"/>
      <c r="CB14" s="131"/>
    </row>
    <row r="15" spans="1:80" ht="16" customHeight="1">
      <c r="A15" s="4"/>
      <c r="B15" s="5"/>
      <c r="C15" s="15"/>
      <c r="D15" s="15"/>
      <c r="I15" s="60"/>
      <c r="J15" s="60"/>
      <c r="K15" s="60"/>
      <c r="L15" s="60"/>
      <c r="M15" s="60"/>
      <c r="N15" s="60"/>
      <c r="O15" s="60"/>
      <c r="P15" s="60"/>
      <c r="Q15" s="60"/>
      <c r="R15" s="60"/>
      <c r="S15" s="9"/>
      <c r="T15" s="9"/>
      <c r="U15" s="9"/>
      <c r="V15" s="9"/>
      <c r="W15" s="9"/>
      <c r="X15" s="9"/>
      <c r="Y15" s="9"/>
      <c r="Z15" s="9"/>
      <c r="AA15" s="9"/>
      <c r="AB15" s="9"/>
      <c r="AC15" s="9"/>
      <c r="AD15" s="54"/>
      <c r="AE15" s="24"/>
      <c r="AF15" s="86"/>
      <c r="AG15" s="135"/>
      <c r="AH15" s="125"/>
      <c r="AI15" s="103"/>
      <c r="AJ15" s="103"/>
      <c r="AK15" s="114"/>
      <c r="AL15" s="114"/>
      <c r="AM15" s="114"/>
      <c r="AN15" s="114"/>
      <c r="AO15" s="125"/>
      <c r="AP15" s="125"/>
      <c r="AQ15" s="125"/>
      <c r="AR15" s="125"/>
      <c r="AS15" s="125"/>
      <c r="AT15" s="125"/>
      <c r="AU15" s="126"/>
      <c r="AV15" s="68"/>
      <c r="AX15" s="133"/>
      <c r="BA15" s="129"/>
      <c r="BB15" s="121"/>
      <c r="BC15" s="56"/>
      <c r="BD15" s="56"/>
      <c r="BE15" s="56"/>
      <c r="BF15" s="56"/>
      <c r="BG15" s="56"/>
      <c r="BH15" s="56"/>
      <c r="BI15" s="56"/>
      <c r="BJ15" s="56"/>
      <c r="BK15" s="56"/>
      <c r="BL15" s="56"/>
      <c r="BM15" s="56"/>
      <c r="BN15" s="56"/>
      <c r="BO15" s="56"/>
      <c r="BP15" s="56"/>
      <c r="BQ15" s="134"/>
      <c r="BR15" s="56"/>
      <c r="BS15" s="56"/>
      <c r="BT15" s="56"/>
      <c r="BU15" s="56"/>
      <c r="BV15" s="56"/>
      <c r="BW15" s="56"/>
      <c r="BX15" s="54"/>
      <c r="BY15" s="56"/>
      <c r="BZ15" s="121"/>
      <c r="CA15" s="121"/>
      <c r="CB15" s="131"/>
    </row>
    <row r="16" spans="1:80" ht="16" customHeight="1">
      <c r="A16" s="4"/>
      <c r="B16" s="5"/>
      <c r="C16" s="15"/>
      <c r="D16" s="15"/>
      <c r="I16" s="60"/>
      <c r="J16" s="60"/>
      <c r="K16" s="60"/>
      <c r="L16" s="60"/>
      <c r="M16" s="60"/>
      <c r="N16" s="60"/>
      <c r="O16" s="60"/>
      <c r="P16" s="60"/>
      <c r="Q16" s="60"/>
      <c r="R16" s="60"/>
      <c r="S16" s="9"/>
      <c r="T16" s="9"/>
      <c r="U16" s="9"/>
      <c r="V16" s="9"/>
      <c r="W16" s="9"/>
      <c r="X16" s="9"/>
      <c r="Y16" s="9"/>
      <c r="Z16" s="9"/>
      <c r="AA16" s="9"/>
      <c r="AB16" s="9"/>
      <c r="AC16" s="9"/>
      <c r="AD16" s="54"/>
      <c r="AE16" s="24"/>
      <c r="AF16" s="86"/>
      <c r="AG16" s="135"/>
      <c r="AH16" s="125"/>
      <c r="AI16" s="103"/>
      <c r="AJ16" s="103"/>
      <c r="AK16" s="114"/>
      <c r="AL16" s="114"/>
      <c r="AM16" s="114"/>
      <c r="AN16" s="114"/>
      <c r="AO16" s="125"/>
      <c r="AP16" s="125"/>
      <c r="AQ16" s="125"/>
      <c r="AR16" s="125"/>
      <c r="AS16" s="125"/>
      <c r="AT16" s="125"/>
      <c r="AU16" s="126"/>
      <c r="AV16" s="68"/>
      <c r="AX16" s="133"/>
      <c r="BA16" s="129"/>
      <c r="BB16" s="121"/>
      <c r="BC16" s="56"/>
      <c r="BD16" s="56"/>
      <c r="BE16" s="56"/>
      <c r="BF16" s="56"/>
      <c r="BG16" s="56"/>
      <c r="BH16" s="56"/>
      <c r="BI16" s="56"/>
      <c r="BJ16" s="56"/>
      <c r="BK16" s="56"/>
      <c r="BL16" s="56"/>
      <c r="BM16" s="56"/>
      <c r="BN16" s="56"/>
      <c r="BO16" s="56"/>
      <c r="BP16" s="56"/>
      <c r="BQ16" s="134"/>
      <c r="BR16" s="56"/>
      <c r="BS16" s="56"/>
      <c r="BT16" s="56"/>
      <c r="BU16" s="56"/>
      <c r="BV16" s="56"/>
      <c r="BW16" s="56"/>
      <c r="BX16" s="54"/>
      <c r="BY16" s="56"/>
      <c r="BZ16" s="121"/>
      <c r="CA16" s="121"/>
      <c r="CB16" s="131"/>
    </row>
    <row r="17" spans="1:80" ht="16" customHeight="1">
      <c r="A17" s="4"/>
      <c r="C17" s="15"/>
      <c r="D17" s="15"/>
      <c r="I17" s="60"/>
      <c r="J17" s="60"/>
      <c r="K17" s="60"/>
      <c r="L17" s="60"/>
      <c r="M17" s="60"/>
      <c r="N17" s="60"/>
      <c r="O17" s="60"/>
      <c r="P17" s="60"/>
      <c r="Q17" s="60"/>
      <c r="R17" s="60"/>
      <c r="S17" s="9"/>
      <c r="T17" s="9"/>
      <c r="U17" s="9"/>
      <c r="V17" s="9"/>
      <c r="W17" s="9"/>
      <c r="X17" s="9"/>
      <c r="Y17" s="9"/>
      <c r="Z17" s="9"/>
      <c r="AA17" s="9"/>
      <c r="AB17" s="9"/>
      <c r="AC17" s="9"/>
      <c r="AD17" s="54"/>
      <c r="AE17" s="24"/>
      <c r="AF17" s="86"/>
      <c r="AG17" s="135"/>
      <c r="AH17" s="125"/>
      <c r="AI17" s="103"/>
      <c r="AJ17" s="103"/>
      <c r="AK17" s="114"/>
      <c r="AL17" s="114"/>
      <c r="AM17" s="114"/>
      <c r="AN17" s="114"/>
      <c r="AO17" s="125"/>
      <c r="AP17" s="125"/>
      <c r="AQ17" s="125"/>
      <c r="AR17" s="125"/>
      <c r="AS17" s="125"/>
      <c r="AT17" s="125"/>
      <c r="AU17" s="126"/>
      <c r="AV17" s="68"/>
      <c r="AX17" s="133"/>
      <c r="BA17" s="129"/>
      <c r="BB17" s="121"/>
      <c r="BC17" s="56"/>
      <c r="BD17" s="56"/>
      <c r="BE17" s="56"/>
      <c r="BF17" s="56"/>
      <c r="BG17" s="56"/>
      <c r="BH17" s="56"/>
      <c r="BI17" s="56"/>
      <c r="BJ17" s="56"/>
      <c r="BK17" s="56"/>
      <c r="BL17" s="56"/>
      <c r="BM17" s="56"/>
      <c r="BN17" s="56"/>
      <c r="BO17" s="56"/>
      <c r="BP17" s="56"/>
      <c r="BQ17" s="134"/>
      <c r="BR17" s="56"/>
      <c r="BS17" s="56"/>
      <c r="BT17" s="56"/>
      <c r="BU17" s="56"/>
      <c r="BV17" s="56"/>
      <c r="BW17" s="56"/>
      <c r="BX17" s="54"/>
      <c r="BY17" s="56"/>
      <c r="BZ17" s="121"/>
      <c r="CA17" s="121"/>
      <c r="CB17" s="131"/>
    </row>
    <row r="18" spans="1:80" ht="16" customHeight="1">
      <c r="A18" s="4"/>
      <c r="B18" s="5"/>
      <c r="C18" s="15"/>
      <c r="D18" s="15"/>
      <c r="I18" s="60"/>
      <c r="J18" s="60"/>
      <c r="K18" s="60"/>
      <c r="L18" s="60"/>
      <c r="M18" s="60"/>
      <c r="N18" s="60"/>
      <c r="O18" s="60"/>
      <c r="P18" s="60"/>
      <c r="Q18" s="60"/>
      <c r="R18" s="60"/>
      <c r="S18" s="9"/>
      <c r="T18" s="9"/>
      <c r="U18" s="9"/>
      <c r="V18" s="9"/>
      <c r="W18" s="9"/>
      <c r="X18" s="9"/>
      <c r="Y18" s="9"/>
      <c r="Z18" s="9"/>
      <c r="AA18" s="9"/>
      <c r="AB18" s="9"/>
      <c r="AC18" s="9"/>
      <c r="AD18" s="54"/>
      <c r="AE18" s="24"/>
      <c r="AF18" s="86"/>
      <c r="AG18" s="135"/>
      <c r="AH18" s="125"/>
      <c r="AI18" s="103"/>
      <c r="AJ18" s="103"/>
      <c r="AK18" s="114"/>
      <c r="AL18" s="114"/>
      <c r="AM18" s="114"/>
      <c r="AN18" s="114"/>
      <c r="AO18" s="125"/>
      <c r="AP18" s="125"/>
      <c r="AQ18" s="125"/>
      <c r="AR18" s="125"/>
      <c r="AS18" s="125"/>
      <c r="AT18" s="125"/>
      <c r="AU18" s="126"/>
      <c r="AV18" s="68"/>
      <c r="AX18" s="133"/>
      <c r="BA18" s="129"/>
      <c r="BB18" s="121"/>
      <c r="BC18" s="56"/>
      <c r="BD18" s="56"/>
      <c r="BE18" s="56"/>
      <c r="BF18" s="56"/>
      <c r="BG18" s="56"/>
      <c r="BH18" s="56"/>
      <c r="BI18" s="56"/>
      <c r="BJ18" s="56"/>
      <c r="BK18" s="56"/>
      <c r="BL18" s="56"/>
      <c r="BM18" s="56"/>
      <c r="BN18" s="56"/>
      <c r="BO18" s="56"/>
      <c r="BP18" s="56"/>
      <c r="BQ18" s="134"/>
      <c r="BR18" s="56"/>
      <c r="BS18" s="56"/>
      <c r="BT18" s="56"/>
      <c r="BU18" s="56"/>
      <c r="BV18" s="56"/>
      <c r="BW18" s="56"/>
      <c r="BX18" s="54"/>
      <c r="BY18" s="56"/>
      <c r="BZ18" s="121"/>
      <c r="CA18" s="121"/>
      <c r="CB18" s="131"/>
    </row>
    <row r="19" spans="1:80" ht="16" customHeight="1">
      <c r="A19" s="4"/>
      <c r="B19" s="5"/>
      <c r="C19" s="15"/>
      <c r="D19" s="15"/>
      <c r="I19" s="60"/>
      <c r="J19" s="60"/>
      <c r="K19" s="60"/>
      <c r="L19" s="60"/>
      <c r="M19" s="60"/>
      <c r="N19" s="60"/>
      <c r="O19" s="60"/>
      <c r="P19" s="60"/>
      <c r="Q19" s="60"/>
      <c r="R19" s="60"/>
      <c r="U19" s="9"/>
      <c r="V19" s="9"/>
      <c r="W19" s="9"/>
      <c r="X19" s="9"/>
      <c r="Y19" s="9"/>
      <c r="Z19" s="9"/>
      <c r="AA19" s="9"/>
      <c r="AB19" s="9"/>
      <c r="AC19" s="9"/>
      <c r="AE19" s="24"/>
      <c r="AF19" s="86"/>
      <c r="AG19" s="135"/>
      <c r="AH19" s="125"/>
      <c r="AI19" s="103"/>
      <c r="AJ19" s="103"/>
      <c r="AK19" s="114"/>
      <c r="AL19" s="114"/>
      <c r="AM19" s="114"/>
      <c r="AN19" s="114"/>
      <c r="AO19" s="125"/>
      <c r="AP19" s="125"/>
      <c r="AQ19" s="125"/>
      <c r="AR19" s="125"/>
      <c r="AS19" s="125"/>
      <c r="AT19" s="125"/>
      <c r="AU19" s="126"/>
      <c r="AV19" s="68"/>
      <c r="AX19" s="133"/>
      <c r="BA19" s="129"/>
      <c r="BB19" s="121"/>
      <c r="BC19" s="56"/>
      <c r="BD19" s="56"/>
      <c r="BE19" s="56"/>
      <c r="BF19" s="56"/>
      <c r="BG19" s="56"/>
      <c r="BH19" s="56"/>
      <c r="BI19" s="56"/>
      <c r="BJ19" s="56"/>
      <c r="BK19" s="56"/>
      <c r="BL19" s="56"/>
      <c r="BM19" s="56"/>
      <c r="BN19" s="56"/>
      <c r="BO19" s="56"/>
      <c r="BP19" s="56"/>
      <c r="BQ19" s="134"/>
      <c r="BR19" s="56"/>
      <c r="BS19" s="56"/>
      <c r="BT19" s="56"/>
      <c r="BU19" s="56"/>
      <c r="BV19" s="56"/>
      <c r="BW19" s="56"/>
      <c r="BX19" s="54"/>
      <c r="BY19" s="56"/>
      <c r="BZ19" s="121"/>
      <c r="CA19" s="121"/>
    </row>
    <row r="20" spans="1:80" ht="16" customHeight="1">
      <c r="A20" s="4"/>
      <c r="C20" s="15"/>
      <c r="D20" s="15"/>
      <c r="E20" s="124"/>
      <c r="F20" s="124"/>
      <c r="G20" s="124"/>
      <c r="H20" s="124"/>
      <c r="I20" s="9"/>
      <c r="J20" s="9"/>
      <c r="K20" s="9"/>
      <c r="L20" s="9"/>
      <c r="M20" s="9"/>
      <c r="N20" s="9"/>
      <c r="O20" s="9"/>
      <c r="P20" s="9"/>
      <c r="Q20" s="9"/>
      <c r="R20" s="9"/>
      <c r="S20" s="9"/>
      <c r="T20" s="9"/>
      <c r="U20" s="9"/>
      <c r="V20" s="9"/>
      <c r="W20" s="9"/>
      <c r="X20" s="9"/>
      <c r="Y20" s="9"/>
      <c r="Z20" s="9"/>
      <c r="AA20" s="9"/>
      <c r="AB20" s="9"/>
      <c r="AC20" s="9"/>
      <c r="AD20" s="54"/>
      <c r="AE20" s="24"/>
      <c r="AF20" s="86"/>
      <c r="AG20" s="135"/>
      <c r="AH20" s="125"/>
      <c r="AI20" s="103"/>
      <c r="AJ20" s="103"/>
      <c r="AK20" s="114"/>
      <c r="AL20" s="114"/>
      <c r="AM20" s="114"/>
      <c r="AN20" s="114"/>
      <c r="AO20" s="125"/>
      <c r="AP20" s="125"/>
      <c r="AQ20" s="125"/>
      <c r="AR20" s="125"/>
      <c r="AS20" s="125"/>
      <c r="AT20" s="125"/>
      <c r="AU20" s="126"/>
      <c r="AV20" s="68"/>
      <c r="AX20" s="133"/>
      <c r="BA20" s="129"/>
      <c r="BB20" s="121"/>
      <c r="BC20" s="56"/>
      <c r="BD20" s="56"/>
      <c r="BE20" s="56"/>
      <c r="BF20" s="56"/>
      <c r="BG20" s="56"/>
      <c r="BH20" s="56"/>
      <c r="BI20" s="56"/>
      <c r="BJ20" s="56"/>
      <c r="BK20" s="56"/>
      <c r="BL20" s="56"/>
      <c r="BM20" s="56"/>
      <c r="BN20" s="56"/>
      <c r="BO20" s="56"/>
      <c r="BP20" s="56"/>
      <c r="BQ20" s="134"/>
      <c r="BR20" s="56"/>
      <c r="BS20" s="56"/>
      <c r="BT20" s="56"/>
      <c r="BU20" s="56"/>
      <c r="BV20" s="56"/>
      <c r="BW20" s="56"/>
      <c r="BX20" s="54"/>
      <c r="BY20" s="56"/>
      <c r="BZ20" s="121"/>
      <c r="CA20" s="121"/>
    </row>
    <row r="21" spans="1:80" ht="16" customHeight="1">
      <c r="A21" s="4"/>
      <c r="B21" s="5"/>
      <c r="C21" s="15"/>
      <c r="D21" s="15"/>
      <c r="I21" s="60"/>
      <c r="J21" s="60"/>
      <c r="K21" s="60"/>
      <c r="L21" s="60"/>
      <c r="M21" s="60"/>
      <c r="N21" s="60"/>
      <c r="O21" s="60"/>
      <c r="P21" s="60"/>
      <c r="Q21" s="60"/>
      <c r="R21" s="60"/>
      <c r="S21" s="9"/>
      <c r="T21" s="9"/>
      <c r="U21" s="9"/>
      <c r="V21" s="9"/>
      <c r="W21" s="9"/>
      <c r="X21" s="9"/>
      <c r="Y21" s="9"/>
      <c r="Z21" s="9"/>
      <c r="AA21" s="9"/>
      <c r="AB21" s="9"/>
      <c r="AC21" s="9"/>
      <c r="AD21" s="54"/>
      <c r="AE21" s="24"/>
      <c r="AF21" s="86"/>
      <c r="AG21" s="135"/>
      <c r="AH21" s="125"/>
      <c r="AI21" s="103"/>
      <c r="AJ21" s="103"/>
      <c r="AK21" s="114"/>
      <c r="AL21" s="114"/>
      <c r="AM21" s="114"/>
      <c r="AN21" s="114"/>
      <c r="AO21" s="125"/>
      <c r="AP21" s="125"/>
      <c r="AQ21" s="125"/>
      <c r="AR21" s="125"/>
      <c r="AS21" s="125"/>
      <c r="AT21" s="125"/>
      <c r="AU21" s="126"/>
      <c r="AV21" s="68"/>
      <c r="AX21" s="133"/>
      <c r="BA21" s="129"/>
      <c r="BB21" s="121"/>
      <c r="BC21" s="56"/>
      <c r="BD21" s="56"/>
      <c r="BE21" s="56"/>
      <c r="BF21" s="56"/>
      <c r="BG21" s="56"/>
      <c r="BH21" s="56"/>
      <c r="BI21" s="56"/>
      <c r="BJ21" s="56"/>
      <c r="BK21" s="56"/>
      <c r="BL21" s="56"/>
      <c r="BM21" s="56"/>
      <c r="BN21" s="56"/>
      <c r="BO21" s="56"/>
      <c r="BP21" s="56"/>
      <c r="BQ21" s="134"/>
      <c r="BR21" s="56"/>
      <c r="BS21" s="56"/>
      <c r="BT21" s="56"/>
      <c r="BU21" s="56"/>
      <c r="BV21" s="56"/>
      <c r="BW21" s="56"/>
      <c r="BX21" s="54"/>
      <c r="BY21" s="56"/>
      <c r="BZ21" s="121"/>
      <c r="CA21" s="121"/>
      <c r="CB21" s="131"/>
    </row>
    <row r="22" spans="1:80" ht="16" customHeight="1">
      <c r="A22" s="4"/>
      <c r="C22" s="15"/>
      <c r="D22" s="15"/>
      <c r="I22" s="60"/>
      <c r="J22" s="60"/>
      <c r="K22" s="60"/>
      <c r="L22" s="60"/>
      <c r="M22" s="60"/>
      <c r="N22" s="60"/>
      <c r="O22" s="60"/>
      <c r="P22" s="60"/>
      <c r="Q22" s="60"/>
      <c r="R22" s="60"/>
      <c r="S22" s="9"/>
      <c r="T22" s="9"/>
      <c r="U22" s="9"/>
      <c r="V22" s="9"/>
      <c r="W22" s="9"/>
      <c r="X22" s="9"/>
      <c r="Y22" s="9"/>
      <c r="Z22" s="9"/>
      <c r="AA22" s="9"/>
      <c r="AB22" s="9"/>
      <c r="AC22" s="9"/>
      <c r="AD22" s="54"/>
      <c r="AE22" s="24"/>
      <c r="AF22" s="86"/>
      <c r="AG22" s="135"/>
      <c r="AH22" s="125"/>
      <c r="AI22" s="103"/>
      <c r="AJ22" s="103"/>
      <c r="AK22" s="114"/>
      <c r="AL22" s="114"/>
      <c r="AM22" s="114"/>
      <c r="AN22" s="114"/>
      <c r="AO22" s="125"/>
      <c r="AP22" s="125"/>
      <c r="AQ22" s="125"/>
      <c r="AR22" s="125"/>
      <c r="AS22" s="125"/>
      <c r="AT22" s="125"/>
      <c r="AU22" s="126"/>
      <c r="AV22" s="68"/>
      <c r="AX22" s="133"/>
      <c r="BA22" s="129"/>
      <c r="BB22" s="121"/>
      <c r="BC22" s="56"/>
      <c r="BD22" s="56"/>
      <c r="BE22" s="56"/>
      <c r="BF22" s="56"/>
      <c r="BG22" s="56"/>
      <c r="BH22" s="56"/>
      <c r="BI22" s="56"/>
      <c r="BJ22" s="56"/>
      <c r="BK22" s="56"/>
      <c r="BL22" s="56"/>
      <c r="BM22" s="56"/>
      <c r="BN22" s="56"/>
      <c r="BO22" s="56"/>
      <c r="BP22" s="56"/>
      <c r="BQ22" s="134"/>
      <c r="BR22" s="56"/>
      <c r="BS22" s="56"/>
      <c r="BT22" s="56"/>
      <c r="BU22" s="56"/>
      <c r="BV22" s="56"/>
      <c r="BW22" s="56"/>
      <c r="BX22" s="54"/>
      <c r="BY22" s="56"/>
      <c r="BZ22" s="121"/>
      <c r="CA22" s="121"/>
      <c r="CB22" s="131"/>
    </row>
    <row r="23" spans="1:80" ht="16" customHeight="1">
      <c r="A23" s="4"/>
      <c r="B23" s="5"/>
      <c r="C23" s="15"/>
      <c r="D23" s="15"/>
      <c r="I23" s="60"/>
      <c r="J23" s="60"/>
      <c r="K23" s="60"/>
      <c r="L23" s="60"/>
      <c r="M23" s="60"/>
      <c r="N23" s="60"/>
      <c r="O23" s="60"/>
      <c r="P23" s="60"/>
      <c r="Q23" s="60"/>
      <c r="R23" s="60"/>
      <c r="S23" s="9"/>
      <c r="T23" s="9"/>
      <c r="U23" s="9"/>
      <c r="V23" s="9"/>
      <c r="W23" s="9"/>
      <c r="X23" s="9"/>
      <c r="Y23" s="9"/>
      <c r="Z23" s="9"/>
      <c r="AA23" s="9"/>
      <c r="AB23" s="9"/>
      <c r="AC23" s="9"/>
      <c r="AD23" s="54"/>
      <c r="AE23" s="24"/>
      <c r="AF23" s="86"/>
      <c r="AG23" s="135"/>
      <c r="AH23" s="125"/>
      <c r="AI23" s="103"/>
      <c r="AJ23" s="103"/>
      <c r="AK23" s="114"/>
      <c r="AL23" s="114"/>
      <c r="AM23" s="114"/>
      <c r="AN23" s="114"/>
      <c r="AO23" s="125"/>
      <c r="AP23" s="125"/>
      <c r="AQ23" s="125"/>
      <c r="AR23" s="125"/>
      <c r="AS23" s="125"/>
      <c r="AT23" s="125"/>
      <c r="AU23" s="126"/>
      <c r="AV23" s="68"/>
      <c r="AX23" s="133"/>
      <c r="BA23" s="129"/>
      <c r="BB23" s="121"/>
      <c r="BC23" s="56"/>
      <c r="BD23" s="56"/>
      <c r="BE23" s="56"/>
      <c r="BF23" s="56"/>
      <c r="BG23" s="56"/>
      <c r="BH23" s="56"/>
      <c r="BI23" s="56"/>
      <c r="BJ23" s="56"/>
      <c r="BK23" s="56"/>
      <c r="BL23" s="56"/>
      <c r="BM23" s="56"/>
      <c r="BN23" s="56"/>
      <c r="BO23" s="56"/>
      <c r="BP23" s="56"/>
      <c r="BQ23" s="134"/>
      <c r="BR23" s="56"/>
      <c r="BS23" s="56"/>
      <c r="BT23" s="56"/>
      <c r="BU23" s="56"/>
      <c r="BV23" s="56"/>
      <c r="BW23" s="56"/>
      <c r="BX23" s="54"/>
      <c r="BY23" s="56"/>
      <c r="BZ23" s="121"/>
      <c r="CA23" s="121"/>
      <c r="CB23" s="131"/>
    </row>
    <row r="24" spans="1:80" ht="16" customHeight="1">
      <c r="A24" s="4"/>
      <c r="C24" s="15"/>
      <c r="D24" s="15"/>
      <c r="I24" s="60"/>
      <c r="J24" s="60"/>
      <c r="K24" s="60"/>
      <c r="L24" s="60"/>
      <c r="M24" s="60"/>
      <c r="N24" s="60"/>
      <c r="O24" s="60"/>
      <c r="P24" s="60"/>
      <c r="Q24" s="60"/>
      <c r="R24" s="60"/>
      <c r="S24" s="9"/>
      <c r="T24" s="9"/>
      <c r="U24" s="9"/>
      <c r="V24" s="9"/>
      <c r="W24" s="9"/>
      <c r="X24" s="9"/>
      <c r="Y24" s="9"/>
      <c r="Z24" s="9"/>
      <c r="AA24" s="9"/>
      <c r="AB24" s="9"/>
      <c r="AC24" s="9"/>
      <c r="AD24" s="54"/>
      <c r="AE24" s="24"/>
      <c r="AF24" s="86"/>
      <c r="AG24" s="135"/>
      <c r="AH24" s="125"/>
      <c r="AI24" s="103"/>
      <c r="AJ24" s="103"/>
      <c r="AK24" s="114"/>
      <c r="AL24" s="114"/>
      <c r="AM24" s="114"/>
      <c r="AN24" s="114"/>
      <c r="AO24" s="125"/>
      <c r="AP24" s="125"/>
      <c r="AQ24" s="125"/>
      <c r="AR24" s="125"/>
      <c r="AS24" s="125"/>
      <c r="AT24" s="125"/>
      <c r="AU24" s="126"/>
      <c r="AV24" s="68"/>
      <c r="AX24" s="133"/>
      <c r="BA24" s="129"/>
      <c r="BB24" s="121"/>
      <c r="BC24" s="56"/>
      <c r="BD24" s="56"/>
      <c r="BE24" s="56"/>
      <c r="BF24" s="56"/>
      <c r="BG24" s="56"/>
      <c r="BH24" s="56"/>
      <c r="BI24" s="56"/>
      <c r="BJ24" s="56"/>
      <c r="BK24" s="56"/>
      <c r="BL24" s="56"/>
      <c r="BM24" s="56"/>
      <c r="BN24" s="56"/>
      <c r="BO24" s="56"/>
      <c r="BP24" s="56"/>
      <c r="BQ24" s="134"/>
      <c r="BR24" s="56"/>
      <c r="BS24" s="56"/>
      <c r="BT24" s="56"/>
      <c r="BU24" s="56"/>
      <c r="BV24" s="56"/>
      <c r="BW24" s="56"/>
      <c r="BX24" s="54"/>
      <c r="BY24" s="56"/>
      <c r="BZ24" s="121"/>
      <c r="CA24" s="121"/>
      <c r="CB24" s="131"/>
    </row>
    <row r="25" spans="1:80" ht="16" customHeight="1">
      <c r="A25" s="4"/>
      <c r="B25" s="5"/>
      <c r="C25" s="15"/>
      <c r="D25" s="15"/>
      <c r="I25" s="60"/>
      <c r="J25" s="60"/>
      <c r="K25" s="60"/>
      <c r="L25" s="60"/>
      <c r="M25" s="60"/>
      <c r="N25" s="60"/>
      <c r="O25" s="60"/>
      <c r="P25" s="60"/>
      <c r="Q25" s="60"/>
      <c r="R25" s="60"/>
      <c r="S25" s="9"/>
      <c r="T25" s="9"/>
      <c r="U25" s="9"/>
      <c r="V25" s="9"/>
      <c r="W25" s="9"/>
      <c r="X25" s="9"/>
      <c r="Y25" s="9"/>
      <c r="Z25" s="9"/>
      <c r="AA25" s="9"/>
      <c r="AB25" s="9"/>
      <c r="AC25" s="9"/>
      <c r="AD25" s="54"/>
      <c r="AE25" s="24"/>
      <c r="AF25" s="86"/>
      <c r="AG25" s="135"/>
      <c r="AH25" s="125"/>
      <c r="AI25" s="103"/>
      <c r="AJ25" s="103"/>
      <c r="AK25" s="114"/>
      <c r="AL25" s="114"/>
      <c r="AM25" s="114"/>
      <c r="AN25" s="114"/>
      <c r="AO25" s="125"/>
      <c r="AP25" s="125"/>
      <c r="AQ25" s="125"/>
      <c r="AR25" s="125"/>
      <c r="AS25" s="125"/>
      <c r="AT25" s="125"/>
      <c r="AU25" s="126"/>
      <c r="AV25" s="68"/>
      <c r="AX25" s="133"/>
      <c r="BA25" s="129"/>
      <c r="BB25" s="121"/>
      <c r="BC25" s="56"/>
      <c r="BD25" s="56"/>
      <c r="BE25" s="56"/>
      <c r="BF25" s="56"/>
      <c r="BG25" s="56"/>
      <c r="BH25" s="56"/>
      <c r="BI25" s="56"/>
      <c r="BJ25" s="56"/>
      <c r="BK25" s="56"/>
      <c r="BL25" s="56"/>
      <c r="BM25" s="56"/>
      <c r="BN25" s="56"/>
      <c r="BO25" s="56"/>
      <c r="BP25" s="56"/>
      <c r="BQ25" s="134"/>
      <c r="BR25" s="56"/>
      <c r="BS25" s="56"/>
      <c r="BT25" s="56"/>
      <c r="BU25" s="56"/>
      <c r="BV25" s="56"/>
      <c r="BW25" s="56"/>
      <c r="BX25" s="54"/>
      <c r="BY25" s="56"/>
      <c r="BZ25" s="121"/>
      <c r="CA25" s="121"/>
      <c r="CB25" s="131"/>
    </row>
    <row r="26" spans="1:80" ht="16" customHeight="1">
      <c r="A26" s="4"/>
      <c r="C26" s="15"/>
      <c r="D26" s="95"/>
      <c r="I26" s="60"/>
      <c r="J26" s="60"/>
      <c r="K26" s="60"/>
      <c r="L26" s="60"/>
      <c r="M26" s="60"/>
      <c r="N26" s="60"/>
      <c r="O26" s="60"/>
      <c r="P26" s="60"/>
      <c r="Q26" s="60"/>
      <c r="R26" s="60"/>
      <c r="U26" s="9"/>
      <c r="V26" s="9"/>
      <c r="W26" s="9"/>
      <c r="X26" s="9"/>
      <c r="Y26" s="9"/>
      <c r="Z26" s="9"/>
      <c r="AA26" s="9"/>
      <c r="AC26" s="9"/>
      <c r="AE26" s="24"/>
      <c r="AF26" s="86"/>
      <c r="AG26" s="135"/>
      <c r="AH26" s="125"/>
      <c r="AI26" s="103"/>
      <c r="AJ26" s="103"/>
      <c r="AK26" s="114"/>
      <c r="AL26" s="114"/>
      <c r="AM26" s="114"/>
      <c r="AN26" s="114"/>
      <c r="AO26" s="125"/>
      <c r="AP26" s="125"/>
      <c r="AQ26" s="125"/>
      <c r="AR26" s="125"/>
      <c r="AS26" s="125"/>
      <c r="AT26" s="125"/>
      <c r="AU26" s="126"/>
      <c r="AV26" s="68"/>
      <c r="AX26" s="133"/>
      <c r="BA26" s="129"/>
      <c r="BB26" s="121"/>
      <c r="BC26" s="56"/>
      <c r="BD26" s="56"/>
      <c r="BE26" s="56"/>
      <c r="BF26" s="56"/>
      <c r="BG26" s="56"/>
      <c r="BH26" s="56"/>
      <c r="BI26" s="56"/>
      <c r="BJ26" s="56"/>
      <c r="BK26" s="56"/>
      <c r="BL26" s="56"/>
      <c r="BM26" s="56"/>
      <c r="BN26" s="56"/>
      <c r="BO26" s="56"/>
      <c r="BP26" s="56"/>
      <c r="BQ26" s="134"/>
      <c r="BR26" s="56"/>
      <c r="BS26" s="56"/>
      <c r="BT26" s="56"/>
      <c r="BU26" s="56"/>
      <c r="BV26" s="56"/>
      <c r="BW26" s="56"/>
      <c r="BX26" s="54"/>
      <c r="BY26" s="56"/>
      <c r="BZ26" s="121"/>
      <c r="CA26" s="121"/>
    </row>
    <row r="27" spans="1:80" ht="16" customHeight="1">
      <c r="A27" s="4"/>
      <c r="C27" s="15"/>
      <c r="I27" s="60"/>
      <c r="J27" s="60"/>
      <c r="K27" s="60"/>
      <c r="L27" s="60"/>
      <c r="M27" s="60"/>
      <c r="N27" s="60"/>
      <c r="O27" s="60"/>
      <c r="P27" s="60"/>
      <c r="Q27" s="60"/>
      <c r="R27" s="60"/>
      <c r="U27" s="9"/>
      <c r="V27" s="9"/>
      <c r="W27" s="9"/>
      <c r="X27" s="9"/>
      <c r="Y27" s="9"/>
      <c r="Z27" s="9"/>
      <c r="AA27" s="9"/>
      <c r="AB27" s="9"/>
      <c r="AC27" s="9"/>
      <c r="AE27" s="24"/>
      <c r="AF27" s="86"/>
      <c r="AG27" s="135"/>
      <c r="AH27" s="125"/>
      <c r="AI27" s="103"/>
      <c r="AJ27" s="103"/>
      <c r="AK27" s="114"/>
      <c r="AL27" s="114"/>
      <c r="AM27" s="114"/>
      <c r="AN27" s="114"/>
      <c r="AO27" s="125"/>
      <c r="AP27" s="125"/>
      <c r="AQ27" s="125"/>
      <c r="AR27" s="125"/>
      <c r="AS27" s="125"/>
      <c r="AT27" s="125"/>
      <c r="AU27" s="126"/>
      <c r="AV27" s="68"/>
      <c r="AX27" s="133"/>
      <c r="BA27" s="129"/>
      <c r="BB27" s="121"/>
      <c r="BC27" s="56"/>
      <c r="BD27" s="56"/>
      <c r="BE27" s="56"/>
      <c r="BF27" s="56"/>
      <c r="BG27" s="56"/>
      <c r="BH27" s="56"/>
      <c r="BI27" s="56"/>
      <c r="BJ27" s="56"/>
      <c r="BK27" s="56"/>
      <c r="BL27" s="56"/>
      <c r="BM27" s="56"/>
      <c r="BN27" s="56"/>
      <c r="BO27" s="56"/>
      <c r="BP27" s="56"/>
      <c r="BQ27" s="134"/>
      <c r="BR27" s="56"/>
      <c r="BS27" s="56"/>
      <c r="BT27" s="56"/>
      <c r="BU27" s="56"/>
      <c r="BV27" s="56"/>
      <c r="BW27" s="56"/>
      <c r="BX27" s="54"/>
      <c r="BY27" s="56"/>
      <c r="BZ27" s="121"/>
      <c r="CA27" s="121"/>
    </row>
    <row r="28" spans="1:80" ht="16" customHeight="1">
      <c r="A28" s="4"/>
      <c r="C28" s="15"/>
      <c r="I28" s="60"/>
      <c r="J28" s="60"/>
      <c r="K28" s="60"/>
      <c r="L28" s="60"/>
      <c r="M28" s="60"/>
      <c r="N28" s="60"/>
      <c r="O28" s="60"/>
      <c r="P28" s="60"/>
      <c r="Q28" s="60"/>
      <c r="R28" s="60"/>
      <c r="U28" s="9"/>
      <c r="V28" s="9"/>
      <c r="W28" s="9"/>
      <c r="X28" s="9"/>
      <c r="Y28" s="9"/>
      <c r="Z28" s="9"/>
      <c r="AA28" s="9"/>
      <c r="AC28" s="9"/>
      <c r="AE28" s="24"/>
      <c r="AF28" s="86"/>
      <c r="AG28" s="135"/>
      <c r="AH28" s="125"/>
      <c r="AI28" s="103"/>
      <c r="AJ28" s="103"/>
      <c r="AK28" s="114"/>
      <c r="AL28" s="114"/>
      <c r="AM28" s="114"/>
      <c r="AN28" s="114"/>
      <c r="AO28" s="125"/>
      <c r="AP28" s="125"/>
      <c r="AQ28" s="125"/>
      <c r="AR28" s="125"/>
      <c r="AS28" s="125"/>
      <c r="AT28" s="125"/>
      <c r="AU28" s="126"/>
      <c r="AV28" s="68"/>
      <c r="AX28" s="133"/>
      <c r="BA28" s="129"/>
      <c r="BB28" s="121"/>
      <c r="BC28" s="56"/>
      <c r="BD28" s="56"/>
      <c r="BE28" s="56"/>
      <c r="BF28" s="56"/>
      <c r="BG28" s="56"/>
      <c r="BH28" s="56"/>
      <c r="BI28" s="56"/>
      <c r="BJ28" s="56"/>
      <c r="BK28" s="56"/>
      <c r="BL28" s="56"/>
      <c r="BM28" s="56"/>
      <c r="BN28" s="56"/>
      <c r="BO28" s="56"/>
      <c r="BP28" s="56"/>
      <c r="BQ28" s="134"/>
      <c r="BR28" s="56"/>
      <c r="BS28" s="56"/>
      <c r="BT28" s="56"/>
      <c r="BU28" s="56"/>
      <c r="BV28" s="56"/>
      <c r="BW28" s="56"/>
      <c r="BX28" s="54"/>
      <c r="BY28" s="56"/>
      <c r="BZ28" s="121"/>
      <c r="CA28" s="121"/>
    </row>
    <row r="29" spans="1:80" ht="16" customHeight="1">
      <c r="A29" s="4"/>
      <c r="B29" s="5"/>
      <c r="C29" s="15"/>
      <c r="I29" s="60"/>
      <c r="J29" s="60"/>
      <c r="K29" s="60"/>
      <c r="L29" s="60"/>
      <c r="M29" s="60"/>
      <c r="N29" s="60"/>
      <c r="O29" s="60"/>
      <c r="P29" s="60"/>
      <c r="Q29" s="60"/>
      <c r="R29" s="60"/>
      <c r="U29" s="9"/>
      <c r="V29" s="9"/>
      <c r="W29" s="9"/>
      <c r="X29" s="9"/>
      <c r="Y29" s="9"/>
      <c r="Z29" s="9"/>
      <c r="AA29" s="9"/>
      <c r="AB29" s="9"/>
      <c r="AC29" s="9"/>
      <c r="AE29" s="24"/>
      <c r="AF29" s="86"/>
      <c r="AG29" s="135"/>
      <c r="AH29" s="125"/>
      <c r="AI29" s="103"/>
      <c r="AJ29" s="103"/>
      <c r="AK29" s="114"/>
      <c r="AL29" s="114"/>
      <c r="AM29" s="114"/>
      <c r="AN29" s="114"/>
      <c r="AO29" s="125"/>
      <c r="AP29" s="125"/>
      <c r="AQ29" s="125"/>
      <c r="AR29" s="125"/>
      <c r="AS29" s="125"/>
      <c r="AT29" s="125"/>
      <c r="AU29" s="126"/>
      <c r="AV29" s="68"/>
      <c r="AX29" s="133"/>
      <c r="BA29" s="129"/>
      <c r="BB29" s="121"/>
      <c r="BC29" s="56"/>
      <c r="BD29" s="56"/>
      <c r="BE29" s="56"/>
      <c r="BF29" s="56"/>
      <c r="BG29" s="56"/>
      <c r="BH29" s="56"/>
      <c r="BI29" s="56"/>
      <c r="BJ29" s="56"/>
      <c r="BK29" s="56"/>
      <c r="BL29" s="56"/>
      <c r="BM29" s="56"/>
      <c r="BN29" s="56"/>
      <c r="BO29" s="56"/>
      <c r="BP29" s="56"/>
      <c r="BQ29" s="134"/>
      <c r="BR29" s="56"/>
      <c r="BS29" s="56"/>
      <c r="BT29" s="56"/>
      <c r="BU29" s="56"/>
      <c r="BV29" s="56"/>
      <c r="BW29" s="56"/>
      <c r="BX29" s="54"/>
      <c r="BY29" s="56"/>
      <c r="BZ29" s="121"/>
      <c r="CA29" s="121"/>
    </row>
    <row r="30" spans="1:80" ht="16" customHeight="1">
      <c r="A30" s="4"/>
      <c r="B30" s="5"/>
      <c r="C30" s="15"/>
      <c r="I30" s="60"/>
      <c r="J30" s="60"/>
      <c r="K30" s="60"/>
      <c r="L30" s="60"/>
      <c r="M30" s="60"/>
      <c r="N30" s="60"/>
      <c r="O30" s="60"/>
      <c r="P30" s="60"/>
      <c r="Q30" s="60"/>
      <c r="R30" s="60"/>
      <c r="U30" s="9"/>
      <c r="V30" s="9"/>
      <c r="W30" s="9"/>
      <c r="X30" s="9"/>
      <c r="Y30" s="9"/>
      <c r="Z30" s="9"/>
      <c r="AA30" s="9"/>
      <c r="AB30" s="9"/>
      <c r="AC30" s="9"/>
      <c r="AE30" s="24"/>
      <c r="AF30" s="86"/>
      <c r="AG30" s="135"/>
      <c r="AH30" s="125"/>
      <c r="AI30" s="103"/>
      <c r="AJ30" s="103"/>
      <c r="AK30" s="114"/>
      <c r="AL30" s="114"/>
      <c r="AM30" s="114"/>
      <c r="AN30" s="114"/>
      <c r="AO30" s="125"/>
      <c r="AP30" s="125"/>
      <c r="AQ30" s="125"/>
      <c r="AR30" s="125"/>
      <c r="AS30" s="125"/>
      <c r="AT30" s="125"/>
      <c r="AU30" s="126"/>
      <c r="AV30" s="68"/>
      <c r="AX30" s="133"/>
      <c r="BA30" s="129"/>
      <c r="BB30" s="121"/>
      <c r="BC30" s="56"/>
      <c r="BD30" s="56"/>
      <c r="BE30" s="56"/>
      <c r="BF30" s="56"/>
      <c r="BG30" s="56"/>
      <c r="BH30" s="56"/>
      <c r="BI30" s="56"/>
      <c r="BJ30" s="56"/>
      <c r="BK30" s="56"/>
      <c r="BL30" s="56"/>
      <c r="BM30" s="56"/>
      <c r="BN30" s="56"/>
      <c r="BO30" s="56"/>
      <c r="BP30" s="56"/>
      <c r="BQ30" s="134"/>
      <c r="BR30" s="56"/>
      <c r="BS30" s="56"/>
      <c r="BT30" s="56"/>
      <c r="BU30" s="56"/>
      <c r="BV30" s="56"/>
      <c r="BW30" s="56"/>
      <c r="BX30" s="54"/>
      <c r="BY30" s="56"/>
      <c r="BZ30" s="121"/>
      <c r="CA30" s="121"/>
    </row>
    <row r="31" spans="1:80" ht="16" customHeight="1">
      <c r="A31" s="4"/>
      <c r="B31" s="5"/>
      <c r="C31" s="15"/>
      <c r="I31" s="60"/>
      <c r="J31" s="60"/>
      <c r="K31" s="60"/>
      <c r="L31" s="60"/>
      <c r="M31" s="60"/>
      <c r="N31" s="60"/>
      <c r="O31" s="60"/>
      <c r="P31" s="60"/>
      <c r="Q31" s="60"/>
      <c r="R31" s="60"/>
      <c r="U31" s="9"/>
      <c r="V31" s="9"/>
      <c r="W31" s="9"/>
      <c r="X31" s="9"/>
      <c r="Y31" s="9"/>
      <c r="Z31" s="9"/>
      <c r="AA31" s="9"/>
      <c r="AB31" s="9"/>
      <c r="AC31" s="9"/>
      <c r="AE31" s="24"/>
      <c r="AF31" s="86"/>
      <c r="AG31" s="135"/>
      <c r="AH31" s="125"/>
      <c r="AI31" s="103"/>
      <c r="AJ31" s="103"/>
      <c r="AK31" s="114"/>
      <c r="AL31" s="114"/>
      <c r="AM31" s="114"/>
      <c r="AN31" s="114"/>
      <c r="AO31" s="125"/>
      <c r="AP31" s="125"/>
      <c r="AQ31" s="125"/>
      <c r="AR31" s="125"/>
      <c r="AS31" s="125"/>
      <c r="AT31" s="125"/>
      <c r="AU31" s="126"/>
      <c r="AV31" s="68"/>
      <c r="AX31" s="133"/>
      <c r="BA31" s="129"/>
      <c r="BB31" s="121"/>
      <c r="BC31" s="56"/>
      <c r="BD31" s="56"/>
      <c r="BE31" s="56"/>
      <c r="BF31" s="56"/>
      <c r="BG31" s="56"/>
      <c r="BH31" s="56"/>
      <c r="BI31" s="56"/>
      <c r="BJ31" s="56"/>
      <c r="BK31" s="56"/>
      <c r="BL31" s="56"/>
      <c r="BM31" s="56"/>
      <c r="BN31" s="56"/>
      <c r="BO31" s="56"/>
      <c r="BP31" s="56"/>
      <c r="BQ31" s="134"/>
      <c r="BR31" s="56"/>
      <c r="BS31" s="56"/>
      <c r="BT31" s="56"/>
      <c r="BU31" s="56"/>
      <c r="BV31" s="56"/>
      <c r="BW31" s="56"/>
      <c r="BX31" s="54"/>
      <c r="BY31" s="56"/>
      <c r="BZ31" s="121"/>
      <c r="CA31" s="121"/>
    </row>
    <row r="32" spans="1:80" ht="16" customHeight="1">
      <c r="A32" s="4"/>
      <c r="C32" s="15"/>
      <c r="I32" s="60"/>
      <c r="J32" s="60"/>
      <c r="K32" s="60"/>
      <c r="L32" s="60"/>
      <c r="M32" s="60"/>
      <c r="N32" s="60"/>
      <c r="O32" s="60"/>
      <c r="P32" s="60"/>
      <c r="Q32" s="60"/>
      <c r="R32" s="60"/>
      <c r="U32" s="9"/>
      <c r="V32" s="9"/>
      <c r="W32" s="9"/>
      <c r="X32" s="9"/>
      <c r="Y32" s="9"/>
      <c r="Z32" s="9"/>
      <c r="AA32" s="9"/>
      <c r="AB32" s="9"/>
      <c r="AC32" s="9"/>
      <c r="AE32" s="24"/>
      <c r="AF32" s="86"/>
      <c r="AG32" s="135"/>
      <c r="AH32" s="125"/>
      <c r="AI32" s="103"/>
      <c r="AJ32" s="103"/>
      <c r="AK32" s="114"/>
      <c r="AL32" s="114"/>
      <c r="AM32" s="114"/>
      <c r="AN32" s="114"/>
      <c r="AO32" s="125"/>
      <c r="AP32" s="125"/>
      <c r="AQ32" s="125"/>
      <c r="AR32" s="125"/>
      <c r="AS32" s="125"/>
      <c r="AT32" s="125"/>
      <c r="AU32" s="126"/>
      <c r="AV32" s="104"/>
      <c r="AX32" s="133"/>
      <c r="BA32" s="129"/>
      <c r="BB32" s="121"/>
      <c r="BC32" s="56"/>
      <c r="BD32" s="56"/>
      <c r="BE32" s="56"/>
      <c r="BF32" s="56"/>
      <c r="BG32" s="56"/>
      <c r="BH32" s="56"/>
      <c r="BI32" s="56"/>
      <c r="BJ32" s="56"/>
      <c r="BK32" s="56"/>
      <c r="BL32" s="56"/>
      <c r="BM32" s="56"/>
      <c r="BN32" s="56"/>
      <c r="BO32" s="56"/>
      <c r="BP32" s="56"/>
      <c r="BQ32" s="134"/>
      <c r="BR32" s="56"/>
      <c r="BS32" s="56"/>
      <c r="BT32" s="56"/>
      <c r="BU32" s="56"/>
      <c r="BV32" s="56"/>
      <c r="BW32" s="56"/>
      <c r="BX32" s="54"/>
      <c r="BY32" s="56"/>
      <c r="BZ32" s="121"/>
      <c r="CA32" s="121"/>
    </row>
    <row r="33" spans="1:79" ht="16" customHeight="1">
      <c r="A33" s="4"/>
      <c r="C33" s="15"/>
      <c r="I33" s="60"/>
      <c r="J33" s="60"/>
      <c r="K33" s="60"/>
      <c r="L33" s="60"/>
      <c r="M33" s="60"/>
      <c r="N33" s="60"/>
      <c r="O33" s="60"/>
      <c r="P33" s="60"/>
      <c r="Q33" s="60"/>
      <c r="R33" s="60"/>
      <c r="S33" s="60"/>
      <c r="T33" s="60"/>
      <c r="U33" s="9"/>
      <c r="V33" s="9"/>
      <c r="W33" s="9"/>
      <c r="X33" s="9"/>
      <c r="Y33" s="9"/>
      <c r="Z33" s="9"/>
      <c r="AA33" s="9"/>
      <c r="AB33" s="9"/>
      <c r="AC33" s="9"/>
      <c r="AE33" s="24"/>
      <c r="AF33" s="86"/>
      <c r="AG33" s="135"/>
      <c r="AH33" s="125"/>
      <c r="AI33" s="103"/>
      <c r="AJ33" s="103"/>
      <c r="AK33" s="114"/>
      <c r="AL33" s="114"/>
      <c r="AM33" s="114"/>
      <c r="AN33" s="114"/>
      <c r="AO33" s="125"/>
      <c r="AP33" s="125"/>
      <c r="AQ33" s="125"/>
      <c r="AR33" s="125"/>
      <c r="AS33" s="125"/>
      <c r="AT33" s="125"/>
      <c r="AU33" s="126"/>
      <c r="AV33" s="68"/>
      <c r="AX33" s="133"/>
      <c r="BA33" s="129"/>
      <c r="BB33" s="121"/>
      <c r="BC33" s="56"/>
      <c r="BD33" s="56"/>
      <c r="BE33" s="56"/>
      <c r="BF33" s="56"/>
      <c r="BG33" s="56"/>
      <c r="BH33" s="56"/>
      <c r="BI33" s="56"/>
      <c r="BJ33" s="56"/>
      <c r="BK33" s="56"/>
      <c r="BL33" s="56"/>
      <c r="BM33" s="56"/>
      <c r="BN33" s="56"/>
      <c r="BO33" s="56"/>
      <c r="BP33" s="56"/>
      <c r="BQ33" s="134"/>
      <c r="BR33" s="56"/>
      <c r="BS33" s="56"/>
      <c r="BT33" s="56"/>
      <c r="BU33" s="56"/>
      <c r="BV33" s="56"/>
      <c r="BW33" s="56"/>
      <c r="BX33" s="54"/>
      <c r="BY33" s="56"/>
      <c r="BZ33" s="121"/>
      <c r="CA33" s="121"/>
    </row>
    <row r="34" spans="1:79" ht="16" customHeight="1">
      <c r="A34" s="4"/>
      <c r="C34" s="15"/>
      <c r="I34" s="60"/>
      <c r="J34" s="60"/>
      <c r="K34" s="60"/>
      <c r="L34" s="60"/>
      <c r="M34" s="60"/>
      <c r="N34" s="60"/>
      <c r="O34" s="60"/>
      <c r="P34" s="60"/>
      <c r="Q34" s="60"/>
      <c r="R34" s="60"/>
      <c r="S34" s="60"/>
      <c r="T34" s="60"/>
      <c r="U34" s="9"/>
      <c r="V34" s="9"/>
      <c r="W34" s="9"/>
      <c r="X34" s="9"/>
      <c r="Y34" s="9"/>
      <c r="Z34" s="9"/>
      <c r="AA34" s="9"/>
      <c r="AB34" s="9"/>
      <c r="AC34" s="9"/>
      <c r="AE34" s="24"/>
      <c r="AF34" s="86"/>
      <c r="AG34" s="135"/>
      <c r="AH34" s="125"/>
      <c r="AI34" s="103"/>
      <c r="AJ34" s="103"/>
      <c r="AK34" s="114"/>
      <c r="AL34" s="114"/>
      <c r="AM34" s="114"/>
      <c r="AN34" s="114"/>
      <c r="AO34" s="125"/>
      <c r="AP34" s="125"/>
      <c r="AQ34" s="125"/>
      <c r="AR34" s="125"/>
      <c r="AS34" s="125"/>
      <c r="AT34" s="125"/>
      <c r="AU34" s="126"/>
      <c r="AV34" s="105"/>
      <c r="AX34" s="133"/>
      <c r="BA34" s="129"/>
      <c r="BB34" s="121"/>
      <c r="BC34" s="56"/>
      <c r="BD34" s="56"/>
      <c r="BE34" s="56"/>
      <c r="BF34" s="56"/>
      <c r="BG34" s="56"/>
      <c r="BH34" s="56"/>
      <c r="BI34" s="56"/>
      <c r="BJ34" s="56"/>
      <c r="BK34" s="56"/>
      <c r="BL34" s="56"/>
      <c r="BM34" s="56"/>
      <c r="BN34" s="56"/>
      <c r="BO34" s="56"/>
      <c r="BP34" s="56"/>
      <c r="BQ34" s="134"/>
      <c r="BR34" s="56"/>
      <c r="BS34" s="56"/>
      <c r="BT34" s="56"/>
      <c r="BU34" s="56"/>
      <c r="BV34" s="56"/>
      <c r="BW34" s="56"/>
      <c r="BX34" s="54"/>
      <c r="BY34" s="56"/>
      <c r="BZ34" s="121"/>
      <c r="CA34" s="121"/>
    </row>
    <row r="35" spans="1:79" ht="16" customHeight="1">
      <c r="A35" s="4"/>
      <c r="C35" s="15"/>
      <c r="I35" s="60"/>
      <c r="J35" s="60"/>
      <c r="K35" s="60"/>
      <c r="L35" s="60"/>
      <c r="M35" s="60"/>
      <c r="N35" s="60"/>
      <c r="O35" s="60"/>
      <c r="P35" s="60"/>
      <c r="Q35" s="60"/>
      <c r="R35" s="60"/>
      <c r="S35" s="60"/>
      <c r="T35" s="60"/>
      <c r="U35" s="9"/>
      <c r="V35" s="9"/>
      <c r="W35" s="9"/>
      <c r="X35" s="9"/>
      <c r="Y35" s="9"/>
      <c r="Z35" s="9"/>
      <c r="AA35" s="9"/>
      <c r="AB35" s="9"/>
      <c r="AC35" s="9"/>
      <c r="AE35" s="24"/>
      <c r="AF35" s="86"/>
      <c r="AG35" s="135"/>
      <c r="AH35" s="125"/>
      <c r="AI35" s="103"/>
      <c r="AJ35" s="103"/>
      <c r="AK35" s="114"/>
      <c r="AL35" s="114"/>
      <c r="AM35" s="114"/>
      <c r="AN35" s="114"/>
      <c r="AO35" s="125"/>
      <c r="AP35" s="125"/>
      <c r="AQ35" s="125"/>
      <c r="AR35" s="125"/>
      <c r="AS35" s="125"/>
      <c r="AT35" s="125"/>
      <c r="AU35" s="126"/>
      <c r="AV35" s="68"/>
      <c r="AX35" s="133"/>
      <c r="BA35" s="129"/>
      <c r="BB35" s="121"/>
      <c r="BC35" s="56"/>
      <c r="BD35" s="56"/>
      <c r="BE35" s="56"/>
      <c r="BF35" s="56"/>
      <c r="BG35" s="56"/>
      <c r="BH35" s="56"/>
      <c r="BI35" s="56"/>
      <c r="BJ35" s="56"/>
      <c r="BK35" s="56"/>
      <c r="BL35" s="56"/>
      <c r="BM35" s="56"/>
      <c r="BN35" s="56"/>
      <c r="BO35" s="56"/>
      <c r="BP35" s="56"/>
      <c r="BQ35" s="134"/>
      <c r="BR35" s="56"/>
      <c r="BS35" s="56"/>
      <c r="BT35" s="56"/>
      <c r="BU35" s="56"/>
      <c r="BV35" s="56"/>
      <c r="BW35" s="56"/>
      <c r="BX35" s="54"/>
      <c r="BY35" s="56"/>
      <c r="BZ35" s="121"/>
      <c r="CA35" s="121"/>
    </row>
    <row r="36" spans="1:79" ht="16" customHeight="1">
      <c r="A36" s="4"/>
      <c r="C36" s="15"/>
      <c r="I36" s="60"/>
      <c r="J36" s="60"/>
      <c r="K36" s="60"/>
      <c r="L36" s="60"/>
      <c r="M36" s="60"/>
      <c r="N36" s="60"/>
      <c r="O36" s="60"/>
      <c r="P36" s="60"/>
      <c r="Q36" s="60"/>
      <c r="R36" s="60"/>
      <c r="S36" s="60"/>
      <c r="T36" s="60"/>
      <c r="U36" s="9"/>
      <c r="V36" s="9"/>
      <c r="W36" s="9"/>
      <c r="X36" s="9"/>
      <c r="Y36" s="9"/>
      <c r="Z36" s="9"/>
      <c r="AA36" s="9"/>
      <c r="AB36" s="9"/>
      <c r="AC36" s="9"/>
      <c r="AE36" s="24"/>
      <c r="AF36" s="86"/>
      <c r="AG36" s="135"/>
      <c r="AH36" s="125"/>
      <c r="AI36" s="103"/>
      <c r="AJ36" s="103"/>
      <c r="AK36" s="114"/>
      <c r="AL36" s="114"/>
      <c r="AM36" s="114"/>
      <c r="AN36" s="114"/>
      <c r="AO36" s="125"/>
      <c r="AP36" s="125"/>
      <c r="AQ36" s="125"/>
      <c r="AR36" s="125"/>
      <c r="AS36" s="125"/>
      <c r="AT36" s="125"/>
      <c r="AU36" s="126"/>
      <c r="AV36" s="68"/>
      <c r="AX36" s="133"/>
      <c r="BA36" s="129"/>
      <c r="BB36" s="121"/>
      <c r="BC36" s="56"/>
      <c r="BD36" s="56"/>
      <c r="BE36" s="56"/>
      <c r="BF36" s="56"/>
      <c r="BG36" s="56"/>
      <c r="BH36" s="56"/>
      <c r="BI36" s="56"/>
      <c r="BJ36" s="56"/>
      <c r="BK36" s="56"/>
      <c r="BL36" s="56"/>
      <c r="BM36" s="56"/>
      <c r="BN36" s="56"/>
      <c r="BO36" s="56"/>
      <c r="BP36" s="56"/>
      <c r="BQ36" s="134"/>
      <c r="BR36" s="56"/>
      <c r="BS36" s="56"/>
      <c r="BT36" s="56"/>
      <c r="BU36" s="56"/>
      <c r="BV36" s="56"/>
      <c r="BW36" s="56"/>
      <c r="BX36" s="54"/>
      <c r="BY36" s="56"/>
      <c r="BZ36" s="121"/>
      <c r="CA36" s="121"/>
    </row>
    <row r="37" spans="1:79" ht="16" customHeight="1">
      <c r="A37" s="4"/>
      <c r="C37" s="15"/>
      <c r="I37" s="60"/>
      <c r="J37" s="60"/>
      <c r="K37" s="60"/>
      <c r="L37" s="60"/>
      <c r="M37" s="60"/>
      <c r="N37" s="60"/>
      <c r="O37" s="60"/>
      <c r="P37" s="60"/>
      <c r="Q37" s="60"/>
      <c r="R37" s="60"/>
      <c r="S37" s="60"/>
      <c r="T37" s="60"/>
      <c r="U37" s="9"/>
      <c r="V37" s="9"/>
      <c r="W37" s="9"/>
      <c r="X37" s="9"/>
      <c r="Y37" s="9"/>
      <c r="Z37" s="9"/>
      <c r="AA37" s="9"/>
      <c r="AB37" s="9"/>
      <c r="AC37" s="9"/>
      <c r="AE37" s="24"/>
      <c r="AF37" s="86"/>
      <c r="AG37" s="135"/>
      <c r="AH37" s="125"/>
      <c r="AI37" s="103"/>
      <c r="AJ37" s="103"/>
      <c r="AK37" s="114"/>
      <c r="AL37" s="114"/>
      <c r="AM37" s="114"/>
      <c r="AN37" s="114"/>
      <c r="AO37" s="125"/>
      <c r="AP37" s="125"/>
      <c r="AQ37" s="125"/>
      <c r="AR37" s="125"/>
      <c r="AS37" s="125"/>
      <c r="AT37" s="125"/>
      <c r="AU37" s="126"/>
      <c r="AV37" s="68"/>
      <c r="AX37" s="133"/>
      <c r="BA37" s="129"/>
      <c r="BB37" s="121"/>
      <c r="BC37" s="56"/>
      <c r="BD37" s="56"/>
      <c r="BE37" s="56"/>
      <c r="BF37" s="56"/>
      <c r="BG37" s="56"/>
      <c r="BH37" s="56"/>
      <c r="BI37" s="56"/>
      <c r="BJ37" s="56"/>
      <c r="BK37" s="56"/>
      <c r="BL37" s="56"/>
      <c r="BM37" s="56"/>
      <c r="BN37" s="56"/>
      <c r="BO37" s="56"/>
      <c r="BP37" s="56"/>
      <c r="BQ37" s="134"/>
      <c r="BR37" s="56"/>
      <c r="BS37" s="56"/>
      <c r="BT37" s="56"/>
      <c r="BU37" s="56"/>
      <c r="BV37" s="56"/>
      <c r="BW37" s="56"/>
      <c r="BX37" s="54"/>
      <c r="BY37" s="56"/>
      <c r="BZ37" s="121"/>
      <c r="CA37" s="121"/>
    </row>
    <row r="38" spans="1:79" ht="16" customHeight="1">
      <c r="A38" s="4"/>
      <c r="C38" s="15"/>
      <c r="I38" s="60"/>
      <c r="J38" s="60"/>
      <c r="K38" s="60"/>
      <c r="L38" s="60"/>
      <c r="M38" s="60"/>
      <c r="N38" s="60"/>
      <c r="O38" s="60"/>
      <c r="P38" s="60"/>
      <c r="Q38" s="60"/>
      <c r="R38" s="60"/>
      <c r="S38" s="60"/>
      <c r="T38" s="60"/>
      <c r="U38" s="9"/>
      <c r="V38" s="9"/>
      <c r="W38" s="9"/>
      <c r="X38" s="9"/>
      <c r="Y38" s="9"/>
      <c r="Z38" s="9"/>
      <c r="AA38" s="9"/>
      <c r="AB38" s="9"/>
      <c r="AC38" s="9"/>
      <c r="AE38" s="24"/>
      <c r="AF38" s="86"/>
      <c r="AG38" s="135"/>
      <c r="AH38" s="125"/>
      <c r="AI38" s="103"/>
      <c r="AJ38" s="103"/>
      <c r="AK38" s="114"/>
      <c r="AL38" s="114"/>
      <c r="AM38" s="114"/>
      <c r="AN38" s="114"/>
      <c r="AO38" s="125"/>
      <c r="AP38" s="125"/>
      <c r="AQ38" s="125"/>
      <c r="AR38" s="125"/>
      <c r="AS38" s="125"/>
      <c r="AT38" s="125"/>
      <c r="AU38" s="126"/>
      <c r="AV38" s="68"/>
      <c r="AX38" s="133"/>
      <c r="BA38" s="129"/>
      <c r="BB38" s="121"/>
      <c r="BC38" s="56"/>
      <c r="BD38" s="56"/>
      <c r="BE38" s="56"/>
      <c r="BF38" s="56"/>
      <c r="BG38" s="56"/>
      <c r="BH38" s="56"/>
      <c r="BI38" s="56"/>
      <c r="BJ38" s="56"/>
      <c r="BK38" s="56"/>
      <c r="BL38" s="56"/>
      <c r="BM38" s="56"/>
      <c r="BN38" s="56"/>
      <c r="BO38" s="56"/>
      <c r="BP38" s="56"/>
      <c r="BQ38" s="134"/>
      <c r="BR38" s="56"/>
      <c r="BS38" s="56"/>
      <c r="BT38" s="56"/>
      <c r="BU38" s="56"/>
      <c r="BV38" s="56"/>
      <c r="BW38" s="56"/>
      <c r="BX38" s="54"/>
      <c r="BY38" s="56"/>
      <c r="BZ38" s="121"/>
      <c r="CA38" s="121"/>
    </row>
    <row r="39" spans="1:79" ht="16" customHeight="1">
      <c r="A39" s="4"/>
      <c r="C39" s="15"/>
      <c r="I39" s="60"/>
      <c r="J39" s="60"/>
      <c r="K39" s="60"/>
      <c r="L39" s="60"/>
      <c r="M39" s="60"/>
      <c r="N39" s="60"/>
      <c r="O39" s="60"/>
      <c r="P39" s="60"/>
      <c r="Q39" s="60"/>
      <c r="R39" s="60"/>
      <c r="S39" s="60"/>
      <c r="T39" s="60"/>
      <c r="U39" s="9"/>
      <c r="V39" s="9"/>
      <c r="W39" s="9"/>
      <c r="X39" s="9"/>
      <c r="Y39" s="9"/>
      <c r="Z39" s="9"/>
      <c r="AA39" s="9"/>
      <c r="AB39" s="9"/>
      <c r="AC39" s="9"/>
      <c r="AE39" s="24"/>
      <c r="AF39" s="86"/>
      <c r="AG39" s="135"/>
      <c r="AH39" s="125"/>
      <c r="AI39" s="103"/>
      <c r="AJ39" s="103"/>
      <c r="AK39" s="114"/>
      <c r="AL39" s="114"/>
      <c r="AM39" s="114"/>
      <c r="AN39" s="114"/>
      <c r="AO39" s="125"/>
      <c r="AP39" s="125"/>
      <c r="AQ39" s="125"/>
      <c r="AR39" s="125"/>
      <c r="AS39" s="125"/>
      <c r="AT39" s="125"/>
      <c r="AU39" s="126"/>
      <c r="AV39" s="68"/>
      <c r="AX39" s="133"/>
      <c r="BA39" s="129"/>
      <c r="BB39" s="121"/>
      <c r="BC39" s="56"/>
      <c r="BD39" s="56"/>
      <c r="BE39" s="56"/>
      <c r="BF39" s="56"/>
      <c r="BG39" s="56"/>
      <c r="BH39" s="56"/>
      <c r="BI39" s="56"/>
      <c r="BJ39" s="56"/>
      <c r="BK39" s="56"/>
      <c r="BL39" s="56"/>
      <c r="BM39" s="56"/>
      <c r="BN39" s="56"/>
      <c r="BO39" s="56"/>
      <c r="BP39" s="56"/>
      <c r="BQ39" s="134"/>
      <c r="BR39" s="56"/>
      <c r="BS39" s="56"/>
      <c r="BT39" s="56"/>
      <c r="BU39" s="56"/>
      <c r="BV39" s="56"/>
      <c r="BW39" s="56"/>
      <c r="BX39" s="54"/>
      <c r="BY39" s="56"/>
      <c r="BZ39" s="121"/>
      <c r="CA39" s="121"/>
    </row>
    <row r="40" spans="1:79" ht="16" customHeight="1">
      <c r="A40" s="4"/>
      <c r="C40" s="15"/>
      <c r="I40" s="60"/>
      <c r="J40" s="60"/>
      <c r="K40" s="60"/>
      <c r="L40" s="60"/>
      <c r="M40" s="60"/>
      <c r="N40" s="60"/>
      <c r="O40" s="60"/>
      <c r="P40" s="60"/>
      <c r="Q40" s="60"/>
      <c r="R40" s="60"/>
      <c r="S40" s="60"/>
      <c r="T40" s="60"/>
      <c r="U40" s="9"/>
      <c r="V40" s="9"/>
      <c r="W40" s="9"/>
      <c r="X40" s="9"/>
      <c r="Y40" s="9"/>
      <c r="Z40" s="9"/>
      <c r="AA40" s="9"/>
      <c r="AB40" s="9"/>
      <c r="AC40" s="9"/>
      <c r="AE40" s="24"/>
      <c r="AF40" s="86"/>
      <c r="AG40" s="135"/>
      <c r="AH40" s="125"/>
      <c r="AI40" s="103"/>
      <c r="AJ40" s="103"/>
      <c r="AK40" s="114"/>
      <c r="AL40" s="114"/>
      <c r="AM40" s="114"/>
      <c r="AN40" s="114"/>
      <c r="AO40" s="125"/>
      <c r="AP40" s="125"/>
      <c r="AQ40" s="125"/>
      <c r="AR40" s="125"/>
      <c r="AS40" s="125"/>
      <c r="AT40" s="125"/>
      <c r="AU40" s="126"/>
      <c r="AV40" s="68"/>
      <c r="AX40" s="133"/>
      <c r="BA40" s="129"/>
      <c r="BB40" s="121"/>
      <c r="BC40" s="56"/>
      <c r="BD40" s="56"/>
      <c r="BE40" s="56"/>
      <c r="BF40" s="56"/>
      <c r="BG40" s="56"/>
      <c r="BH40" s="56"/>
      <c r="BI40" s="56"/>
      <c r="BJ40" s="56"/>
      <c r="BK40" s="56"/>
      <c r="BL40" s="56"/>
      <c r="BM40" s="56"/>
      <c r="BN40" s="56"/>
      <c r="BO40" s="56"/>
      <c r="BP40" s="56"/>
      <c r="BQ40" s="134"/>
      <c r="BR40" s="56"/>
      <c r="BS40" s="56"/>
      <c r="BT40" s="56"/>
      <c r="BU40" s="56"/>
      <c r="BV40" s="56"/>
      <c r="BW40" s="56"/>
      <c r="BX40" s="54"/>
      <c r="BY40" s="56"/>
      <c r="BZ40" s="121"/>
      <c r="CA40" s="121"/>
    </row>
    <row r="41" spans="1:79" ht="16" customHeight="1">
      <c r="A41" s="4"/>
      <c r="C41" s="15"/>
      <c r="I41" s="60"/>
      <c r="J41" s="60"/>
      <c r="K41" s="60"/>
      <c r="L41" s="60"/>
      <c r="M41" s="60"/>
      <c r="N41" s="60"/>
      <c r="O41" s="60"/>
      <c r="P41" s="60"/>
      <c r="Q41" s="60"/>
      <c r="R41" s="60"/>
      <c r="S41" s="60"/>
      <c r="T41" s="60"/>
      <c r="U41" s="9"/>
      <c r="V41" s="9"/>
      <c r="W41" s="9"/>
      <c r="X41" s="9"/>
      <c r="Y41" s="9"/>
      <c r="Z41" s="9"/>
      <c r="AA41" s="9"/>
      <c r="AB41" s="9"/>
      <c r="AC41" s="9"/>
      <c r="AE41" s="24"/>
      <c r="AF41" s="86"/>
      <c r="AG41" s="135"/>
      <c r="AH41" s="125"/>
      <c r="AI41" s="103"/>
      <c r="AJ41" s="103"/>
      <c r="AK41" s="114"/>
      <c r="AL41" s="114"/>
      <c r="AM41" s="114"/>
      <c r="AN41" s="114"/>
      <c r="AO41" s="125"/>
      <c r="AP41" s="125"/>
      <c r="AQ41" s="125"/>
      <c r="AR41" s="125"/>
      <c r="AS41" s="125"/>
      <c r="AT41" s="125"/>
      <c r="AU41" s="126"/>
      <c r="AV41" s="68"/>
      <c r="AX41" s="133"/>
      <c r="BA41" s="129"/>
      <c r="BB41" s="121"/>
      <c r="BC41" s="56"/>
      <c r="BD41" s="56"/>
      <c r="BE41" s="56"/>
      <c r="BF41" s="56"/>
      <c r="BG41" s="56"/>
      <c r="BH41" s="56"/>
      <c r="BI41" s="56"/>
      <c r="BJ41" s="56"/>
      <c r="BK41" s="56"/>
      <c r="BL41" s="56"/>
      <c r="BM41" s="56"/>
      <c r="BN41" s="56"/>
      <c r="BO41" s="56"/>
      <c r="BP41" s="56"/>
      <c r="BQ41" s="134"/>
      <c r="BR41" s="56"/>
      <c r="BS41" s="56"/>
      <c r="BT41" s="56"/>
      <c r="BU41" s="56"/>
      <c r="BV41" s="56"/>
      <c r="BW41" s="56"/>
      <c r="BX41" s="54"/>
      <c r="BY41" s="56"/>
      <c r="BZ41" s="121"/>
      <c r="CA41" s="121"/>
    </row>
    <row r="42" spans="1:79" ht="16" customHeight="1">
      <c r="A42" s="4"/>
      <c r="C42" s="15"/>
      <c r="I42" s="60"/>
      <c r="J42" s="60"/>
      <c r="K42" s="60"/>
      <c r="L42" s="60"/>
      <c r="M42" s="60"/>
      <c r="N42" s="60"/>
      <c r="O42" s="60"/>
      <c r="P42" s="60"/>
      <c r="Q42" s="60"/>
      <c r="R42" s="60"/>
      <c r="S42" s="60"/>
      <c r="T42" s="60"/>
      <c r="U42" s="9"/>
      <c r="V42" s="9"/>
      <c r="W42" s="9"/>
      <c r="X42" s="9"/>
      <c r="Y42" s="9"/>
      <c r="Z42" s="9"/>
      <c r="AA42" s="9"/>
      <c r="AB42" s="9"/>
      <c r="AC42" s="9"/>
      <c r="AE42" s="24"/>
      <c r="AF42" s="86"/>
      <c r="AG42" s="135"/>
      <c r="AH42" s="125"/>
      <c r="AI42" s="103"/>
      <c r="AJ42" s="103"/>
      <c r="AK42" s="114"/>
      <c r="AL42" s="114"/>
      <c r="AM42" s="114"/>
      <c r="AN42" s="114"/>
      <c r="AO42" s="125"/>
      <c r="AP42" s="125"/>
      <c r="AQ42" s="125"/>
      <c r="AR42" s="125"/>
      <c r="AS42" s="125"/>
      <c r="AT42" s="125"/>
      <c r="AU42" s="126"/>
      <c r="AV42" s="68"/>
      <c r="AX42" s="133"/>
      <c r="BA42" s="129"/>
      <c r="BB42" s="121"/>
      <c r="BC42" s="56"/>
      <c r="BD42" s="56"/>
      <c r="BE42" s="56"/>
      <c r="BF42" s="56"/>
      <c r="BG42" s="56"/>
      <c r="BH42" s="56"/>
      <c r="BI42" s="56"/>
      <c r="BJ42" s="56"/>
      <c r="BK42" s="56"/>
      <c r="BL42" s="56"/>
      <c r="BM42" s="56"/>
      <c r="BN42" s="56"/>
      <c r="BO42" s="56"/>
      <c r="BP42" s="56"/>
      <c r="BQ42" s="134"/>
      <c r="BR42" s="56"/>
      <c r="BS42" s="56"/>
      <c r="BT42" s="56"/>
      <c r="BU42" s="56"/>
      <c r="BV42" s="56"/>
      <c r="BW42" s="56"/>
      <c r="BX42" s="54"/>
      <c r="BY42" s="56"/>
      <c r="BZ42" s="121"/>
      <c r="CA42" s="121"/>
    </row>
    <row r="43" spans="1:79" ht="16" customHeight="1">
      <c r="A43" s="4"/>
      <c r="C43" s="15"/>
      <c r="I43" s="60"/>
      <c r="J43" s="60"/>
      <c r="K43" s="60"/>
      <c r="L43" s="60"/>
      <c r="M43" s="60"/>
      <c r="N43" s="60"/>
      <c r="O43" s="60"/>
      <c r="P43" s="60"/>
      <c r="Q43" s="60"/>
      <c r="R43" s="60"/>
      <c r="S43" s="60"/>
      <c r="T43" s="60"/>
      <c r="U43" s="9"/>
      <c r="V43" s="9"/>
      <c r="W43" s="9"/>
      <c r="X43" s="9"/>
      <c r="Y43" s="9"/>
      <c r="Z43" s="9"/>
      <c r="AA43" s="9"/>
      <c r="AB43" s="9"/>
      <c r="AC43" s="9"/>
      <c r="AE43" s="24"/>
      <c r="AF43" s="86"/>
      <c r="AG43" s="135"/>
      <c r="AH43" s="125"/>
      <c r="AI43" s="103"/>
      <c r="AJ43" s="103"/>
      <c r="AK43" s="114"/>
      <c r="AL43" s="114"/>
      <c r="AM43" s="114"/>
      <c r="AN43" s="114"/>
      <c r="AO43" s="125"/>
      <c r="AP43" s="125"/>
      <c r="AQ43" s="125"/>
      <c r="AR43" s="125"/>
      <c r="AS43" s="125"/>
      <c r="AT43" s="125"/>
      <c r="AU43" s="126"/>
      <c r="AV43" s="68"/>
      <c r="AX43" s="133"/>
      <c r="BA43" s="129"/>
      <c r="BB43" s="121"/>
      <c r="BC43" s="56"/>
      <c r="BD43" s="56"/>
      <c r="BE43" s="56"/>
      <c r="BF43" s="56"/>
      <c r="BG43" s="56"/>
      <c r="BH43" s="56"/>
      <c r="BI43" s="56"/>
      <c r="BJ43" s="56"/>
      <c r="BK43" s="56"/>
      <c r="BL43" s="56"/>
      <c r="BM43" s="56"/>
      <c r="BN43" s="56"/>
      <c r="BO43" s="56"/>
      <c r="BP43" s="56"/>
      <c r="BQ43" s="134"/>
      <c r="BR43" s="56"/>
      <c r="BS43" s="56"/>
      <c r="BT43" s="56"/>
      <c r="BU43" s="56"/>
      <c r="BV43" s="56"/>
      <c r="BW43" s="56"/>
      <c r="BX43" s="54"/>
      <c r="BY43" s="56"/>
      <c r="BZ43" s="121"/>
      <c r="CA43" s="121"/>
    </row>
    <row r="44" spans="1:79" ht="16" customHeight="1">
      <c r="A44" s="4"/>
      <c r="C44" s="15"/>
      <c r="I44" s="60"/>
      <c r="J44" s="60"/>
      <c r="K44" s="60"/>
      <c r="L44" s="60"/>
      <c r="M44" s="60"/>
      <c r="N44" s="60"/>
      <c r="O44" s="60"/>
      <c r="P44" s="60"/>
      <c r="Q44" s="60"/>
      <c r="R44" s="60"/>
      <c r="S44" s="60"/>
      <c r="T44" s="60"/>
      <c r="U44" s="9"/>
      <c r="V44" s="9"/>
      <c r="W44" s="9"/>
      <c r="X44" s="9"/>
      <c r="Y44" s="9"/>
      <c r="Z44" s="9"/>
      <c r="AA44" s="9"/>
      <c r="AB44" s="9"/>
      <c r="AC44" s="9"/>
      <c r="AE44" s="24"/>
      <c r="AF44" s="86"/>
      <c r="AG44" s="135"/>
      <c r="AH44" s="125"/>
      <c r="AI44" s="103"/>
      <c r="AJ44" s="103"/>
      <c r="AK44" s="114"/>
      <c r="AL44" s="114"/>
      <c r="AM44" s="114"/>
      <c r="AN44" s="114"/>
      <c r="AO44" s="125"/>
      <c r="AP44" s="125"/>
      <c r="AQ44" s="125"/>
      <c r="AR44" s="125"/>
      <c r="AS44" s="125"/>
      <c r="AT44" s="125"/>
      <c r="AU44" s="126"/>
      <c r="AV44" s="68"/>
      <c r="AX44" s="133"/>
      <c r="BA44" s="129"/>
      <c r="BB44" s="121"/>
      <c r="BC44" s="56"/>
      <c r="BD44" s="56"/>
      <c r="BE44" s="56"/>
      <c r="BF44" s="56"/>
      <c r="BG44" s="56"/>
      <c r="BH44" s="56"/>
      <c r="BI44" s="56"/>
      <c r="BJ44" s="56"/>
      <c r="BK44" s="56"/>
      <c r="BL44" s="56"/>
      <c r="BM44" s="56"/>
      <c r="BN44" s="56"/>
      <c r="BO44" s="56"/>
      <c r="BP44" s="56"/>
      <c r="BQ44" s="134"/>
      <c r="BR44" s="56"/>
      <c r="BS44" s="56"/>
      <c r="BT44" s="56"/>
      <c r="BU44" s="56"/>
      <c r="BV44" s="56"/>
      <c r="BW44" s="56"/>
      <c r="BX44" s="54"/>
      <c r="BY44" s="56"/>
      <c r="BZ44" s="121"/>
      <c r="CA44" s="121"/>
    </row>
    <row r="45" spans="1:79" ht="16" customHeight="1">
      <c r="A45" s="4"/>
      <c r="C45" s="15"/>
      <c r="I45" s="60"/>
      <c r="J45" s="60"/>
      <c r="K45" s="60"/>
      <c r="L45" s="60"/>
      <c r="M45" s="60"/>
      <c r="N45" s="60"/>
      <c r="O45" s="60"/>
      <c r="P45" s="60"/>
      <c r="Q45" s="60"/>
      <c r="R45" s="60"/>
      <c r="S45" s="60"/>
      <c r="T45" s="60"/>
      <c r="U45" s="9"/>
      <c r="V45" s="9"/>
      <c r="W45" s="9"/>
      <c r="X45" s="9"/>
      <c r="Y45" s="9"/>
      <c r="Z45" s="9"/>
      <c r="AA45" s="9"/>
      <c r="AB45" s="9"/>
      <c r="AC45" s="9"/>
      <c r="AE45" s="24"/>
      <c r="AF45" s="86"/>
      <c r="AG45" s="135"/>
      <c r="AH45" s="125"/>
      <c r="AI45" s="103"/>
      <c r="AJ45" s="103"/>
      <c r="AK45" s="114"/>
      <c r="AL45" s="114"/>
      <c r="AM45" s="114"/>
      <c r="AN45" s="114"/>
      <c r="AO45" s="125"/>
      <c r="AP45" s="125"/>
      <c r="AQ45" s="125"/>
      <c r="AR45" s="125"/>
      <c r="AS45" s="125"/>
      <c r="AT45" s="125"/>
      <c r="AU45" s="126"/>
      <c r="AV45" s="68"/>
      <c r="AX45" s="133"/>
      <c r="BA45" s="129"/>
      <c r="BB45" s="121"/>
      <c r="BC45" s="56"/>
      <c r="BD45" s="56"/>
      <c r="BE45" s="56"/>
      <c r="BF45" s="56"/>
      <c r="BG45" s="56"/>
      <c r="BH45" s="56"/>
      <c r="BI45" s="56"/>
      <c r="BJ45" s="56"/>
      <c r="BK45" s="56"/>
      <c r="BL45" s="56"/>
      <c r="BM45" s="56"/>
      <c r="BN45" s="56"/>
      <c r="BO45" s="56"/>
      <c r="BP45" s="56"/>
      <c r="BQ45" s="134"/>
      <c r="BR45" s="56"/>
      <c r="BS45" s="56"/>
      <c r="BT45" s="56"/>
      <c r="BU45" s="56"/>
      <c r="BV45" s="56"/>
      <c r="BW45" s="56"/>
      <c r="BX45" s="54"/>
      <c r="BY45" s="56"/>
      <c r="BZ45" s="121"/>
      <c r="CA45" s="121"/>
    </row>
    <row r="46" spans="1:79" ht="16" customHeight="1">
      <c r="A46" s="4"/>
      <c r="C46" s="15"/>
      <c r="J46" s="60"/>
      <c r="K46" s="60"/>
      <c r="L46" s="60"/>
      <c r="M46" s="60"/>
      <c r="N46" s="60"/>
      <c r="O46" s="60"/>
      <c r="P46" s="60"/>
      <c r="Q46" s="60"/>
      <c r="R46" s="60"/>
      <c r="S46" s="60"/>
      <c r="T46" s="60"/>
      <c r="U46" s="9"/>
      <c r="V46" s="9"/>
      <c r="W46" s="9"/>
      <c r="X46" s="9"/>
      <c r="Y46" s="9"/>
      <c r="Z46" s="9"/>
      <c r="AA46" s="9"/>
      <c r="AB46" s="9"/>
      <c r="AC46" s="9"/>
      <c r="AE46" s="24"/>
      <c r="AF46" s="86"/>
      <c r="AG46" s="135"/>
      <c r="AH46" s="125"/>
      <c r="AI46" s="103"/>
      <c r="AJ46" s="103"/>
      <c r="AK46" s="114"/>
      <c r="AL46" s="114"/>
      <c r="AM46" s="114"/>
      <c r="AN46" s="114"/>
      <c r="AO46" s="125"/>
      <c r="AP46" s="125"/>
      <c r="AQ46" s="125"/>
      <c r="AR46" s="125"/>
      <c r="AS46" s="125"/>
      <c r="AT46" s="125"/>
      <c r="AU46" s="126"/>
      <c r="AV46" s="68"/>
      <c r="AX46" s="133"/>
      <c r="BA46" s="129"/>
      <c r="BB46" s="121"/>
      <c r="BC46" s="56"/>
      <c r="BD46" s="56"/>
      <c r="BE46" s="56"/>
      <c r="BF46" s="56"/>
      <c r="BG46" s="56"/>
      <c r="BH46" s="56"/>
      <c r="BI46" s="56"/>
      <c r="BJ46" s="56"/>
      <c r="BK46" s="56"/>
      <c r="BL46" s="56"/>
      <c r="BM46" s="56"/>
      <c r="BN46" s="56"/>
      <c r="BO46" s="56"/>
      <c r="BP46" s="56"/>
      <c r="BQ46" s="134"/>
      <c r="BR46" s="56"/>
      <c r="BS46" s="56"/>
      <c r="BT46" s="56"/>
      <c r="BU46" s="56"/>
      <c r="BV46" s="56"/>
      <c r="BW46" s="56"/>
      <c r="BX46" s="54"/>
      <c r="BY46" s="56"/>
      <c r="BZ46" s="121"/>
      <c r="CA46" s="121"/>
    </row>
    <row r="47" spans="1:79" ht="16" customHeight="1">
      <c r="A47" s="4"/>
      <c r="C47" s="15"/>
      <c r="I47" s="60"/>
      <c r="J47" s="60"/>
      <c r="K47" s="60"/>
      <c r="L47" s="60"/>
      <c r="M47" s="60"/>
      <c r="N47" s="60"/>
      <c r="O47" s="60"/>
      <c r="P47" s="60"/>
      <c r="Q47" s="60"/>
      <c r="R47" s="60"/>
      <c r="S47" s="60"/>
      <c r="T47" s="60"/>
      <c r="U47" s="9"/>
      <c r="V47" s="9"/>
      <c r="W47" s="9"/>
      <c r="X47" s="9"/>
      <c r="Y47" s="9"/>
      <c r="Z47" s="9"/>
      <c r="AA47" s="9"/>
      <c r="AB47" s="9"/>
      <c r="AC47" s="9"/>
      <c r="AE47" s="24"/>
      <c r="AF47" s="86"/>
      <c r="AG47" s="135"/>
      <c r="AH47" s="125"/>
      <c r="AI47" s="103"/>
      <c r="AJ47" s="103"/>
      <c r="AK47" s="114"/>
      <c r="AL47" s="114"/>
      <c r="AM47" s="114"/>
      <c r="AN47" s="114"/>
      <c r="AO47" s="125"/>
      <c r="AP47" s="125"/>
      <c r="AQ47" s="125"/>
      <c r="AR47" s="125"/>
      <c r="AS47" s="125"/>
      <c r="AT47" s="125"/>
      <c r="AU47" s="126"/>
      <c r="AV47" s="68"/>
      <c r="AX47" s="133"/>
      <c r="BA47" s="129"/>
      <c r="BB47" s="121"/>
      <c r="BC47" s="56"/>
      <c r="BD47" s="56"/>
      <c r="BE47" s="56"/>
      <c r="BF47" s="56"/>
      <c r="BG47" s="56"/>
      <c r="BH47" s="56"/>
      <c r="BI47" s="56"/>
      <c r="BJ47" s="56"/>
      <c r="BK47" s="56"/>
      <c r="BL47" s="56"/>
      <c r="BM47" s="56"/>
      <c r="BN47" s="56"/>
      <c r="BO47" s="56"/>
      <c r="BP47" s="56"/>
      <c r="BQ47" s="134"/>
      <c r="BR47" s="56"/>
      <c r="BS47" s="56"/>
      <c r="BT47" s="56"/>
      <c r="BU47" s="56"/>
      <c r="BV47" s="56"/>
      <c r="BW47" s="56"/>
      <c r="BX47" s="54"/>
      <c r="BY47" s="56"/>
      <c r="BZ47" s="121"/>
      <c r="CA47" s="121"/>
    </row>
    <row r="48" spans="1:79" ht="16" customHeight="1">
      <c r="A48" s="4"/>
      <c r="C48" s="15"/>
      <c r="I48" s="60"/>
      <c r="J48" s="60"/>
      <c r="K48" s="60"/>
      <c r="L48" s="60"/>
      <c r="M48" s="60"/>
      <c r="N48" s="60"/>
      <c r="O48" s="60"/>
      <c r="P48" s="60"/>
      <c r="Q48" s="60"/>
      <c r="R48" s="60"/>
      <c r="S48" s="60"/>
      <c r="T48" s="60"/>
      <c r="U48" s="9"/>
      <c r="V48" s="9"/>
      <c r="W48" s="9"/>
      <c r="X48" s="9"/>
      <c r="Y48" s="9"/>
      <c r="Z48" s="9"/>
      <c r="AA48" s="9"/>
      <c r="AB48" s="9"/>
      <c r="AC48" s="9"/>
      <c r="AE48" s="24"/>
      <c r="AF48" s="86"/>
      <c r="AG48" s="135"/>
      <c r="AH48" s="125"/>
      <c r="AI48" s="103"/>
      <c r="AJ48" s="103"/>
      <c r="AK48" s="114"/>
      <c r="AL48" s="114"/>
      <c r="AM48" s="114"/>
      <c r="AN48" s="114"/>
      <c r="AO48" s="125"/>
      <c r="AP48" s="125"/>
      <c r="AQ48" s="125"/>
      <c r="AR48" s="125"/>
      <c r="AS48" s="125"/>
      <c r="AT48" s="125"/>
      <c r="AU48" s="126"/>
      <c r="AV48" s="68"/>
      <c r="AX48" s="133"/>
      <c r="BA48" s="129"/>
      <c r="BB48" s="121"/>
      <c r="BC48" s="56"/>
      <c r="BD48" s="56"/>
      <c r="BE48" s="56"/>
      <c r="BF48" s="56"/>
      <c r="BG48" s="56"/>
      <c r="BH48" s="56"/>
      <c r="BI48" s="56"/>
      <c r="BJ48" s="56"/>
      <c r="BK48" s="56"/>
      <c r="BL48" s="56"/>
      <c r="BM48" s="56"/>
      <c r="BN48" s="56"/>
      <c r="BO48" s="56"/>
      <c r="BP48" s="56"/>
      <c r="BQ48" s="134"/>
      <c r="BR48" s="56"/>
      <c r="BS48" s="56"/>
      <c r="BT48" s="56"/>
      <c r="BU48" s="56"/>
      <c r="BV48" s="56"/>
      <c r="BW48" s="56"/>
      <c r="BX48" s="54"/>
      <c r="BY48" s="56"/>
      <c r="BZ48" s="121"/>
      <c r="CA48" s="121"/>
    </row>
    <row r="49" spans="1:80" ht="16" customHeight="1">
      <c r="I49" s="60"/>
      <c r="J49" s="60"/>
      <c r="K49" s="60"/>
      <c r="L49" s="60"/>
      <c r="M49" s="60"/>
      <c r="N49" s="60"/>
      <c r="O49" s="60"/>
      <c r="P49" s="60"/>
      <c r="Q49" s="60"/>
      <c r="R49" s="60"/>
      <c r="AE49" s="24"/>
      <c r="AF49" s="24"/>
      <c r="AG49" s="73"/>
      <c r="AH49" s="125"/>
      <c r="AI49" s="103"/>
    </row>
    <row r="50" spans="1:80" ht="16" customHeight="1">
      <c r="I50" s="60"/>
      <c r="J50" s="60"/>
      <c r="K50" s="60"/>
      <c r="L50" s="60"/>
      <c r="M50" s="60"/>
      <c r="N50" s="60"/>
      <c r="O50" s="60"/>
      <c r="P50" s="60"/>
      <c r="Q50" s="60"/>
      <c r="R50" s="60"/>
      <c r="AE50" s="24"/>
      <c r="AF50" s="24"/>
      <c r="AG50" s="73"/>
      <c r="AH50" s="125"/>
      <c r="AI50" s="103"/>
    </row>
    <row r="51" spans="1:80" ht="16" customHeight="1">
      <c r="I51" s="60"/>
      <c r="J51" s="60"/>
      <c r="K51" s="60"/>
      <c r="L51" s="60"/>
      <c r="M51" s="60"/>
      <c r="N51" s="60"/>
      <c r="O51" s="60"/>
      <c r="P51" s="60"/>
      <c r="Q51" s="60"/>
      <c r="R51" s="60"/>
      <c r="AE51" s="24"/>
      <c r="AF51" s="24"/>
      <c r="AG51" s="73"/>
      <c r="AH51" s="125"/>
      <c r="AI51" s="103"/>
    </row>
    <row r="52" spans="1:80" ht="16" customHeight="1">
      <c r="I52" s="60"/>
      <c r="J52" s="60"/>
      <c r="K52" s="60"/>
      <c r="L52" s="60"/>
      <c r="M52" s="60"/>
      <c r="N52" s="60"/>
      <c r="O52" s="60"/>
      <c r="P52" s="60"/>
      <c r="Q52" s="60"/>
      <c r="R52" s="60"/>
      <c r="AE52" s="24"/>
      <c r="AF52" s="24"/>
      <c r="AG52" s="73"/>
      <c r="AH52" s="125"/>
      <c r="AI52" s="103"/>
    </row>
    <row r="53" spans="1:80" ht="16" customHeight="1">
      <c r="I53" s="60"/>
      <c r="J53" s="60"/>
      <c r="K53" s="60"/>
      <c r="L53" s="60"/>
      <c r="M53" s="60"/>
      <c r="N53" s="60"/>
      <c r="O53" s="60"/>
      <c r="P53" s="60"/>
      <c r="Q53" s="60"/>
      <c r="R53" s="60"/>
      <c r="AE53" s="24"/>
      <c r="AF53" s="24"/>
      <c r="AG53" s="73"/>
      <c r="AH53" s="125"/>
      <c r="AI53" s="103"/>
    </row>
    <row r="54" spans="1:80" ht="16" customHeight="1">
      <c r="I54" s="60"/>
      <c r="J54" s="60"/>
      <c r="K54" s="60"/>
      <c r="L54" s="60"/>
      <c r="M54" s="60"/>
      <c r="N54" s="60"/>
      <c r="O54" s="60"/>
      <c r="P54" s="60"/>
      <c r="Q54" s="60"/>
      <c r="R54" s="60"/>
      <c r="AE54" s="24"/>
      <c r="AF54" s="24"/>
      <c r="AG54" s="73"/>
      <c r="AH54" s="125"/>
      <c r="AI54" s="103"/>
    </row>
    <row r="55" spans="1:80" ht="16" customHeight="1">
      <c r="I55" s="60"/>
      <c r="J55" s="60"/>
      <c r="K55" s="60"/>
      <c r="L55" s="60"/>
      <c r="M55" s="60"/>
      <c r="N55" s="60"/>
      <c r="O55" s="60"/>
      <c r="P55" s="60"/>
      <c r="Q55" s="60"/>
      <c r="R55" s="60"/>
      <c r="AE55" s="24"/>
      <c r="AF55" s="24"/>
      <c r="AG55" s="73"/>
      <c r="AH55" s="125"/>
      <c r="AI55" s="103"/>
    </row>
    <row r="56" spans="1:80" ht="16" customHeight="1">
      <c r="I56" s="60"/>
      <c r="J56" s="60"/>
      <c r="K56" s="60"/>
      <c r="L56" s="60"/>
      <c r="M56" s="60"/>
      <c r="N56" s="60"/>
      <c r="O56" s="60"/>
      <c r="P56" s="60"/>
      <c r="Q56" s="60"/>
      <c r="R56" s="60"/>
      <c r="AE56" s="24"/>
      <c r="AF56" s="24"/>
      <c r="AG56" s="73"/>
      <c r="AH56" s="125"/>
      <c r="AI56" s="103"/>
    </row>
    <row r="57" spans="1:80" ht="16" customHeight="1">
      <c r="I57" s="60"/>
      <c r="J57" s="60"/>
      <c r="K57" s="60"/>
      <c r="L57" s="60"/>
      <c r="M57" s="60"/>
      <c r="N57" s="60"/>
      <c r="O57" s="60"/>
      <c r="P57" s="60"/>
      <c r="Q57" s="60"/>
      <c r="R57" s="60"/>
      <c r="AE57" s="24"/>
      <c r="AF57" s="24"/>
      <c r="AG57" s="73"/>
      <c r="AH57" s="125"/>
      <c r="AI57" s="103"/>
    </row>
    <row r="58" spans="1:80" ht="16" customHeight="1">
      <c r="I58" s="60"/>
      <c r="J58" s="60"/>
      <c r="K58" s="60"/>
      <c r="L58" s="60"/>
      <c r="M58" s="60"/>
      <c r="N58" s="60"/>
      <c r="O58" s="60"/>
      <c r="P58" s="60"/>
      <c r="Q58" s="60"/>
      <c r="R58" s="60"/>
      <c r="AE58" s="24"/>
      <c r="AF58" s="24"/>
      <c r="AG58" s="73"/>
      <c r="AH58" s="125"/>
      <c r="AI58" s="103"/>
    </row>
    <row r="59" spans="1:80" ht="16" customHeight="1">
      <c r="I59" s="60"/>
      <c r="J59" s="60"/>
      <c r="K59" s="60"/>
      <c r="L59" s="60"/>
      <c r="M59" s="60"/>
      <c r="N59" s="60"/>
      <c r="O59" s="60"/>
      <c r="P59" s="60"/>
      <c r="Q59" s="60"/>
      <c r="R59" s="60"/>
      <c r="AE59" s="24"/>
      <c r="AF59" s="24"/>
      <c r="AG59" s="73"/>
      <c r="AH59" s="125"/>
      <c r="AI59" s="103"/>
    </row>
    <row r="60" spans="1:80" ht="16" customHeight="1">
      <c r="I60" s="60"/>
      <c r="J60" s="60"/>
      <c r="K60" s="60"/>
      <c r="L60" s="60"/>
      <c r="M60" s="60"/>
      <c r="N60" s="60"/>
      <c r="O60" s="60"/>
      <c r="P60" s="60"/>
      <c r="Q60" s="60"/>
      <c r="R60" s="60"/>
      <c r="AE60" s="24"/>
      <c r="AF60" s="24"/>
      <c r="AG60" s="73"/>
      <c r="AH60" s="125"/>
      <c r="AI60" s="103"/>
    </row>
    <row r="61" spans="1:80" ht="16" customHeight="1">
      <c r="I61" s="60"/>
      <c r="J61" s="60"/>
      <c r="K61" s="60"/>
      <c r="L61" s="60"/>
      <c r="M61" s="60"/>
      <c r="N61" s="60"/>
      <c r="O61" s="60"/>
      <c r="P61" s="60"/>
      <c r="Q61" s="60"/>
      <c r="R61" s="60"/>
      <c r="AE61" s="24"/>
      <c r="AF61" s="24"/>
      <c r="AG61" s="73"/>
      <c r="AH61" s="125"/>
      <c r="AI61" s="103"/>
    </row>
    <row r="62" spans="1:80" ht="16" customHeight="1">
      <c r="I62" s="60"/>
      <c r="J62" s="60"/>
      <c r="K62" s="60"/>
      <c r="L62" s="60"/>
      <c r="M62" s="60"/>
      <c r="N62" s="60"/>
      <c r="O62" s="60"/>
      <c r="P62" s="60"/>
      <c r="Q62" s="60"/>
      <c r="R62" s="60"/>
      <c r="AE62" s="24"/>
      <c r="AF62" s="24"/>
      <c r="AG62" s="73"/>
      <c r="AH62" s="125"/>
      <c r="AI62" s="103"/>
    </row>
    <row r="63" spans="1:80" s="28" customFormat="1" ht="16" customHeight="1">
      <c r="A63" s="39"/>
      <c r="B63" s="57"/>
      <c r="C63" s="67"/>
      <c r="D63" s="67"/>
      <c r="E63" s="39"/>
      <c r="F63" s="39"/>
      <c r="G63" s="39"/>
      <c r="H63" s="67"/>
      <c r="I63" s="60"/>
      <c r="J63" s="60"/>
      <c r="K63" s="60"/>
      <c r="L63" s="60"/>
      <c r="M63" s="60"/>
      <c r="N63" s="60"/>
      <c r="O63" s="60"/>
      <c r="P63" s="60"/>
      <c r="Q63" s="60"/>
      <c r="R63" s="60"/>
      <c r="S63" s="70"/>
      <c r="T63" s="70"/>
      <c r="U63" s="70"/>
      <c r="V63" s="70"/>
      <c r="W63" s="70"/>
      <c r="X63" s="70"/>
      <c r="Y63" s="70"/>
      <c r="Z63" s="70"/>
      <c r="AA63" s="70"/>
      <c r="AB63" s="70"/>
      <c r="AC63" s="70"/>
      <c r="AD63" s="136"/>
      <c r="AE63" s="24"/>
      <c r="AF63" s="24"/>
      <c r="AG63" s="73"/>
      <c r="AH63" s="125"/>
      <c r="AI63" s="103"/>
      <c r="AK63" s="113"/>
      <c r="AL63" s="113"/>
      <c r="AM63" s="113"/>
      <c r="AN63" s="113"/>
      <c r="AO63" s="137"/>
      <c r="AP63" s="137"/>
      <c r="AQ63" s="137"/>
      <c r="AR63" s="137"/>
      <c r="AS63" s="137"/>
      <c r="AT63" s="137"/>
      <c r="AU63" s="67"/>
      <c r="AV63" s="44"/>
      <c r="AW63" s="67"/>
      <c r="AX63" s="75"/>
      <c r="AY63" s="123"/>
      <c r="AZ63" s="67"/>
      <c r="BA63" s="138"/>
      <c r="BB63" s="67"/>
      <c r="BC63" s="67"/>
      <c r="BD63" s="67"/>
      <c r="BE63" s="67"/>
      <c r="BF63" s="67"/>
      <c r="BG63" s="67"/>
      <c r="BH63" s="67"/>
      <c r="BI63" s="67"/>
      <c r="BJ63" s="67"/>
      <c r="BK63" s="67"/>
      <c r="BL63" s="67"/>
      <c r="BM63" s="70"/>
      <c r="BN63" s="70"/>
      <c r="BO63" s="70"/>
      <c r="BP63" s="70"/>
      <c r="BQ63" s="70"/>
      <c r="BR63" s="70"/>
      <c r="BS63" s="70"/>
      <c r="BT63" s="70"/>
      <c r="BU63" s="70"/>
      <c r="BV63" s="70"/>
      <c r="BW63" s="70"/>
      <c r="BX63" s="136"/>
      <c r="BY63" s="70"/>
      <c r="BZ63" s="67"/>
      <c r="CA63" s="67"/>
      <c r="CB63" s="67"/>
    </row>
    <row r="64" spans="1:80" s="28" customFormat="1" ht="16" customHeight="1">
      <c r="A64" s="39"/>
      <c r="B64" s="57"/>
      <c r="C64" s="67"/>
      <c r="D64" s="67"/>
      <c r="E64" s="39"/>
      <c r="F64" s="39"/>
      <c r="G64" s="39"/>
      <c r="H64" s="67"/>
      <c r="I64" s="60"/>
      <c r="J64" s="60"/>
      <c r="K64" s="60"/>
      <c r="L64" s="60"/>
      <c r="M64" s="60"/>
      <c r="N64" s="60"/>
      <c r="O64" s="60"/>
      <c r="P64" s="60"/>
      <c r="Q64" s="60"/>
      <c r="R64" s="60"/>
      <c r="S64" s="70"/>
      <c r="T64" s="70"/>
      <c r="U64" s="70"/>
      <c r="V64" s="70"/>
      <c r="W64" s="70"/>
      <c r="X64" s="70"/>
      <c r="Y64" s="70"/>
      <c r="Z64" s="70"/>
      <c r="AA64" s="70"/>
      <c r="AB64" s="70"/>
      <c r="AC64" s="70"/>
      <c r="AD64" s="136"/>
      <c r="AE64" s="24"/>
      <c r="AF64" s="24"/>
      <c r="AG64" s="73"/>
      <c r="AH64" s="125"/>
      <c r="AI64" s="103"/>
      <c r="AK64" s="113"/>
      <c r="AL64" s="113"/>
      <c r="AM64" s="113"/>
      <c r="AN64" s="113"/>
      <c r="AO64" s="137"/>
      <c r="AP64" s="137"/>
      <c r="AQ64" s="137"/>
      <c r="AR64" s="137"/>
      <c r="AS64" s="137"/>
      <c r="AT64" s="137"/>
      <c r="AU64" s="67"/>
      <c r="AV64" s="44"/>
      <c r="AW64" s="67"/>
      <c r="AX64" s="75"/>
      <c r="AY64" s="123"/>
      <c r="AZ64" s="67"/>
      <c r="BA64" s="138"/>
      <c r="BB64" s="67"/>
      <c r="BC64" s="67"/>
      <c r="BD64" s="67"/>
      <c r="BE64" s="67"/>
      <c r="BF64" s="67"/>
      <c r="BG64" s="67"/>
      <c r="BH64" s="67"/>
      <c r="BI64" s="67"/>
      <c r="BJ64" s="67"/>
      <c r="BK64" s="67"/>
      <c r="BL64" s="67"/>
      <c r="BM64" s="70"/>
      <c r="BN64" s="70"/>
      <c r="BO64" s="70"/>
      <c r="BP64" s="70"/>
      <c r="BQ64" s="70"/>
      <c r="BR64" s="70"/>
      <c r="BS64" s="70"/>
      <c r="BT64" s="70"/>
      <c r="BU64" s="70"/>
      <c r="BV64" s="70"/>
      <c r="BW64" s="70"/>
      <c r="BX64" s="136"/>
      <c r="BY64" s="70"/>
      <c r="BZ64" s="67"/>
      <c r="CA64" s="67"/>
      <c r="CB64" s="67"/>
    </row>
    <row r="65" spans="1:80" s="28" customFormat="1" ht="16" customHeight="1">
      <c r="A65" s="39"/>
      <c r="B65" s="57"/>
      <c r="C65" s="67"/>
      <c r="D65" s="67"/>
      <c r="E65" s="39"/>
      <c r="F65" s="39"/>
      <c r="G65" s="39"/>
      <c r="H65" s="67"/>
      <c r="I65" s="60"/>
      <c r="J65" s="60"/>
      <c r="K65" s="60"/>
      <c r="L65" s="60"/>
      <c r="M65" s="60"/>
      <c r="N65" s="60"/>
      <c r="O65" s="60"/>
      <c r="P65" s="60"/>
      <c r="Q65" s="60"/>
      <c r="R65" s="60"/>
      <c r="S65" s="70"/>
      <c r="T65" s="70"/>
      <c r="U65" s="70"/>
      <c r="V65" s="70"/>
      <c r="W65" s="70"/>
      <c r="X65" s="70"/>
      <c r="Y65" s="70"/>
      <c r="Z65" s="70"/>
      <c r="AA65" s="70"/>
      <c r="AB65" s="70"/>
      <c r="AC65" s="70"/>
      <c r="AD65" s="136"/>
      <c r="AE65" s="24"/>
      <c r="AF65" s="24"/>
      <c r="AG65" s="73"/>
      <c r="AH65" s="125"/>
      <c r="AI65" s="103"/>
      <c r="AK65" s="113"/>
      <c r="AL65" s="113"/>
      <c r="AM65" s="113"/>
      <c r="AN65" s="113"/>
      <c r="AO65" s="137"/>
      <c r="AP65" s="137"/>
      <c r="AQ65" s="137"/>
      <c r="AR65" s="137"/>
      <c r="AS65" s="137"/>
      <c r="AT65" s="137"/>
      <c r="AU65" s="67"/>
      <c r="AV65" s="44"/>
      <c r="AW65" s="67"/>
      <c r="AX65" s="75"/>
      <c r="AY65" s="123"/>
      <c r="AZ65" s="67"/>
      <c r="BA65" s="138"/>
      <c r="BB65" s="67"/>
      <c r="BC65" s="67"/>
      <c r="BD65" s="67"/>
      <c r="BE65" s="67"/>
      <c r="BF65" s="67"/>
      <c r="BG65" s="67"/>
      <c r="BH65" s="67"/>
      <c r="BI65" s="67"/>
      <c r="BJ65" s="67"/>
      <c r="BK65" s="67"/>
      <c r="BL65" s="67"/>
      <c r="BM65" s="70"/>
      <c r="BN65" s="70"/>
      <c r="BO65" s="70"/>
      <c r="BP65" s="70"/>
      <c r="BQ65" s="70"/>
      <c r="BR65" s="70"/>
      <c r="BS65" s="70"/>
      <c r="BT65" s="70"/>
      <c r="BU65" s="70"/>
      <c r="BV65" s="70"/>
      <c r="BW65" s="70"/>
      <c r="BX65" s="136"/>
      <c r="BY65" s="70"/>
      <c r="BZ65" s="67"/>
      <c r="CA65" s="67"/>
      <c r="CB65" s="67"/>
    </row>
    <row r="66" spans="1:80" s="28" customFormat="1" ht="16" customHeight="1">
      <c r="A66" s="39"/>
      <c r="B66" s="57"/>
      <c r="C66" s="67"/>
      <c r="D66" s="67"/>
      <c r="E66" s="39"/>
      <c r="F66" s="39"/>
      <c r="G66" s="39"/>
      <c r="H66" s="67"/>
      <c r="I66" s="60"/>
      <c r="J66" s="60"/>
      <c r="K66" s="60"/>
      <c r="L66" s="60"/>
      <c r="M66" s="60"/>
      <c r="N66" s="60"/>
      <c r="O66" s="60"/>
      <c r="P66" s="60"/>
      <c r="Q66" s="60"/>
      <c r="R66" s="60"/>
      <c r="S66" s="70"/>
      <c r="T66" s="70"/>
      <c r="U66" s="70"/>
      <c r="V66" s="70"/>
      <c r="W66" s="70"/>
      <c r="X66" s="70"/>
      <c r="Y66" s="70"/>
      <c r="Z66" s="70"/>
      <c r="AA66" s="70"/>
      <c r="AB66" s="70"/>
      <c r="AC66" s="70"/>
      <c r="AD66" s="136"/>
      <c r="AE66" s="24"/>
      <c r="AF66" s="24"/>
      <c r="AG66" s="73"/>
      <c r="AH66" s="125"/>
      <c r="AI66" s="103"/>
      <c r="AK66" s="113"/>
      <c r="AL66" s="113"/>
      <c r="AM66" s="113"/>
      <c r="AN66" s="113"/>
      <c r="AO66" s="137"/>
      <c r="AP66" s="137"/>
      <c r="AQ66" s="137"/>
      <c r="AR66" s="137"/>
      <c r="AS66" s="137"/>
      <c r="AT66" s="137"/>
      <c r="AU66" s="67"/>
      <c r="AV66" s="44"/>
      <c r="AW66" s="67"/>
      <c r="AX66" s="75"/>
      <c r="AY66" s="123"/>
      <c r="AZ66" s="67"/>
      <c r="BA66" s="138"/>
      <c r="BB66" s="67"/>
      <c r="BC66" s="67"/>
      <c r="BD66" s="67"/>
      <c r="BE66" s="67"/>
      <c r="BF66" s="67"/>
      <c r="BG66" s="67"/>
      <c r="BH66" s="67"/>
      <c r="BI66" s="67"/>
      <c r="BJ66" s="67"/>
      <c r="BK66" s="67"/>
      <c r="BL66" s="67"/>
      <c r="BM66" s="70"/>
      <c r="BN66" s="70"/>
      <c r="BO66" s="70"/>
      <c r="BP66" s="70"/>
      <c r="BQ66" s="70"/>
      <c r="BR66" s="70"/>
      <c r="BS66" s="70"/>
      <c r="BT66" s="70"/>
      <c r="BU66" s="70"/>
      <c r="BV66" s="70"/>
      <c r="BW66" s="70"/>
      <c r="BX66" s="136"/>
      <c r="BY66" s="70"/>
      <c r="BZ66" s="67"/>
      <c r="CA66" s="67"/>
      <c r="CB66" s="67"/>
    </row>
    <row r="67" spans="1:80" s="28" customFormat="1" ht="16" customHeight="1">
      <c r="A67" s="39"/>
      <c r="B67" s="57"/>
      <c r="C67" s="67"/>
      <c r="D67" s="67"/>
      <c r="E67" s="39"/>
      <c r="F67" s="39"/>
      <c r="G67" s="39"/>
      <c r="H67" s="67"/>
      <c r="I67" s="60"/>
      <c r="J67" s="60"/>
      <c r="K67" s="60"/>
      <c r="L67" s="60"/>
      <c r="M67" s="60"/>
      <c r="N67" s="60"/>
      <c r="O67" s="60"/>
      <c r="P67" s="60"/>
      <c r="Q67" s="60"/>
      <c r="R67" s="60"/>
      <c r="S67" s="70"/>
      <c r="T67" s="70"/>
      <c r="U67" s="70"/>
      <c r="V67" s="70"/>
      <c r="W67" s="70"/>
      <c r="X67" s="70"/>
      <c r="Y67" s="70"/>
      <c r="Z67" s="70"/>
      <c r="AA67" s="70"/>
      <c r="AB67" s="70"/>
      <c r="AC67" s="70"/>
      <c r="AD67" s="136"/>
      <c r="AE67" s="24"/>
      <c r="AF67" s="24"/>
      <c r="AG67" s="73"/>
      <c r="AH67" s="125"/>
      <c r="AI67" s="103"/>
      <c r="AK67" s="113"/>
      <c r="AL67" s="113"/>
      <c r="AM67" s="113"/>
      <c r="AN67" s="113"/>
      <c r="AO67" s="137"/>
      <c r="AP67" s="137"/>
      <c r="AQ67" s="137"/>
      <c r="AR67" s="137"/>
      <c r="AS67" s="137"/>
      <c r="AT67" s="137"/>
      <c r="AU67" s="67"/>
      <c r="AV67" s="44"/>
      <c r="AW67" s="67"/>
      <c r="AX67" s="75"/>
      <c r="AY67" s="123"/>
      <c r="AZ67" s="67"/>
      <c r="BA67" s="138"/>
      <c r="BB67" s="67"/>
      <c r="BC67" s="67"/>
      <c r="BD67" s="67"/>
      <c r="BE67" s="67"/>
      <c r="BF67" s="67"/>
      <c r="BG67" s="67"/>
      <c r="BH67" s="67"/>
      <c r="BI67" s="67"/>
      <c r="BJ67" s="67"/>
      <c r="BK67" s="67"/>
      <c r="BL67" s="67"/>
      <c r="BM67" s="70"/>
      <c r="BN67" s="70"/>
      <c r="BO67" s="70"/>
      <c r="BP67" s="70"/>
      <c r="BQ67" s="70"/>
      <c r="BR67" s="70"/>
      <c r="BS67" s="70"/>
      <c r="BT67" s="70"/>
      <c r="BU67" s="70"/>
      <c r="BV67" s="70"/>
      <c r="BW67" s="70"/>
      <c r="BX67" s="136"/>
      <c r="BY67" s="70"/>
      <c r="BZ67" s="67"/>
      <c r="CA67" s="67"/>
      <c r="CB67" s="67"/>
    </row>
    <row r="68" spans="1:80" s="28" customFormat="1" ht="16" customHeight="1">
      <c r="A68" s="39"/>
      <c r="B68" s="57"/>
      <c r="C68" s="67"/>
      <c r="D68" s="67"/>
      <c r="E68" s="39"/>
      <c r="F68" s="39"/>
      <c r="G68" s="39"/>
      <c r="H68" s="67"/>
      <c r="I68" s="60"/>
      <c r="J68" s="60"/>
      <c r="K68" s="60"/>
      <c r="L68" s="60"/>
      <c r="M68" s="60"/>
      <c r="N68" s="60"/>
      <c r="O68" s="60"/>
      <c r="P68" s="60"/>
      <c r="Q68" s="60"/>
      <c r="R68" s="60"/>
      <c r="S68" s="70"/>
      <c r="T68" s="70"/>
      <c r="U68" s="70"/>
      <c r="V68" s="70"/>
      <c r="W68" s="70"/>
      <c r="X68" s="70"/>
      <c r="Y68" s="70"/>
      <c r="Z68" s="70"/>
      <c r="AA68" s="70"/>
      <c r="AB68" s="70"/>
      <c r="AC68" s="70"/>
      <c r="AD68" s="136"/>
      <c r="AE68" s="24"/>
      <c r="AF68" s="24"/>
      <c r="AG68" s="73"/>
      <c r="AH68" s="125"/>
      <c r="AI68" s="103"/>
      <c r="AK68" s="113"/>
      <c r="AL68" s="113"/>
      <c r="AM68" s="113"/>
      <c r="AN68" s="113"/>
      <c r="AO68" s="137"/>
      <c r="AP68" s="137"/>
      <c r="AQ68" s="137"/>
      <c r="AR68" s="137"/>
      <c r="AS68" s="137"/>
      <c r="AT68" s="137"/>
      <c r="AU68" s="67"/>
      <c r="AV68" s="44"/>
      <c r="AW68" s="67"/>
      <c r="AX68" s="75"/>
      <c r="AY68" s="123"/>
      <c r="AZ68" s="67"/>
      <c r="BA68" s="138"/>
      <c r="BB68" s="67"/>
      <c r="BC68" s="67"/>
      <c r="BD68" s="67"/>
      <c r="BE68" s="67"/>
      <c r="BF68" s="67"/>
      <c r="BG68" s="67"/>
      <c r="BH68" s="67"/>
      <c r="BI68" s="67"/>
      <c r="BJ68" s="67"/>
      <c r="BK68" s="67"/>
      <c r="BL68" s="67"/>
      <c r="BM68" s="70"/>
      <c r="BN68" s="70"/>
      <c r="BO68" s="70"/>
      <c r="BP68" s="70"/>
      <c r="BQ68" s="70"/>
      <c r="BR68" s="70"/>
      <c r="BS68" s="70"/>
      <c r="BT68" s="70"/>
      <c r="BU68" s="70"/>
      <c r="BV68" s="70"/>
      <c r="BW68" s="70"/>
      <c r="BX68" s="136"/>
      <c r="BY68" s="70"/>
      <c r="BZ68" s="67"/>
      <c r="CA68" s="67"/>
      <c r="CB68" s="67"/>
    </row>
    <row r="69" spans="1:80" s="28" customFormat="1" ht="16" customHeight="1">
      <c r="A69" s="39"/>
      <c r="B69" s="57"/>
      <c r="C69" s="67"/>
      <c r="D69" s="67"/>
      <c r="E69" s="39"/>
      <c r="F69" s="39"/>
      <c r="G69" s="39"/>
      <c r="H69" s="67"/>
      <c r="I69" s="60"/>
      <c r="J69" s="60"/>
      <c r="K69" s="60"/>
      <c r="L69" s="60"/>
      <c r="M69" s="60"/>
      <c r="N69" s="60"/>
      <c r="O69" s="60"/>
      <c r="P69" s="60"/>
      <c r="Q69" s="60"/>
      <c r="R69" s="60"/>
      <c r="S69" s="70"/>
      <c r="T69" s="70"/>
      <c r="U69" s="70"/>
      <c r="V69" s="70"/>
      <c r="W69" s="70"/>
      <c r="X69" s="70"/>
      <c r="Y69" s="70"/>
      <c r="Z69" s="70"/>
      <c r="AA69" s="70"/>
      <c r="AB69" s="70"/>
      <c r="AC69" s="70"/>
      <c r="AD69" s="136"/>
      <c r="AE69" s="24"/>
      <c r="AF69" s="24"/>
      <c r="AG69" s="73"/>
      <c r="AH69" s="125"/>
      <c r="AI69" s="103"/>
      <c r="AK69" s="113"/>
      <c r="AL69" s="113"/>
      <c r="AM69" s="113"/>
      <c r="AN69" s="113"/>
      <c r="AO69" s="137"/>
      <c r="AP69" s="137"/>
      <c r="AQ69" s="137"/>
      <c r="AR69" s="137"/>
      <c r="AS69" s="137"/>
      <c r="AT69" s="137"/>
      <c r="AU69" s="67"/>
      <c r="AV69" s="44"/>
      <c r="AW69" s="67"/>
      <c r="AX69" s="75"/>
      <c r="AY69" s="123"/>
      <c r="AZ69" s="67"/>
      <c r="BA69" s="138"/>
      <c r="BB69" s="67"/>
      <c r="BC69" s="67"/>
      <c r="BD69" s="67"/>
      <c r="BE69" s="67"/>
      <c r="BF69" s="67"/>
      <c r="BG69" s="67"/>
      <c r="BH69" s="67"/>
      <c r="BI69" s="67"/>
      <c r="BJ69" s="67"/>
      <c r="BK69" s="67"/>
      <c r="BL69" s="67"/>
      <c r="BM69" s="70"/>
      <c r="BN69" s="70"/>
      <c r="BO69" s="70"/>
      <c r="BP69" s="70"/>
      <c r="BQ69" s="70"/>
      <c r="BR69" s="70"/>
      <c r="BS69" s="70"/>
      <c r="BT69" s="70"/>
      <c r="BU69" s="70"/>
      <c r="BV69" s="70"/>
      <c r="BW69" s="70"/>
      <c r="BX69" s="136"/>
      <c r="BY69" s="70"/>
      <c r="BZ69" s="67"/>
      <c r="CA69" s="67"/>
      <c r="CB69" s="67"/>
    </row>
    <row r="70" spans="1:80" s="28" customFormat="1" ht="16" customHeight="1">
      <c r="A70" s="39"/>
      <c r="B70" s="57"/>
      <c r="C70" s="67"/>
      <c r="D70" s="67"/>
      <c r="E70" s="39"/>
      <c r="F70" s="39"/>
      <c r="G70" s="39"/>
      <c r="H70" s="67"/>
      <c r="I70" s="60"/>
      <c r="J70" s="60"/>
      <c r="K70" s="60"/>
      <c r="L70" s="60"/>
      <c r="M70" s="60"/>
      <c r="N70" s="60"/>
      <c r="O70" s="60"/>
      <c r="P70" s="60"/>
      <c r="Q70" s="60"/>
      <c r="R70" s="60"/>
      <c r="S70" s="70"/>
      <c r="T70" s="70"/>
      <c r="U70" s="70"/>
      <c r="V70" s="70"/>
      <c r="W70" s="70"/>
      <c r="X70" s="70"/>
      <c r="Y70" s="70"/>
      <c r="Z70" s="70"/>
      <c r="AA70" s="70"/>
      <c r="AB70" s="70"/>
      <c r="AC70" s="70"/>
      <c r="AD70" s="136"/>
      <c r="AE70" s="24"/>
      <c r="AF70" s="24"/>
      <c r="AG70" s="73"/>
      <c r="AH70" s="125"/>
      <c r="AI70" s="103"/>
      <c r="AK70" s="113"/>
      <c r="AL70" s="113"/>
      <c r="AM70" s="113"/>
      <c r="AN70" s="113"/>
      <c r="AO70" s="137"/>
      <c r="AP70" s="137"/>
      <c r="AQ70" s="137"/>
      <c r="AR70" s="137"/>
      <c r="AS70" s="137"/>
      <c r="AT70" s="137"/>
      <c r="AU70" s="67"/>
      <c r="AV70" s="44"/>
      <c r="AW70" s="67"/>
      <c r="AX70" s="75"/>
      <c r="AY70" s="123"/>
      <c r="AZ70" s="67"/>
      <c r="BA70" s="138"/>
      <c r="BB70" s="67"/>
      <c r="BC70" s="67"/>
      <c r="BD70" s="67"/>
      <c r="BE70" s="67"/>
      <c r="BF70" s="67"/>
      <c r="BG70" s="67"/>
      <c r="BH70" s="67"/>
      <c r="BI70" s="67"/>
      <c r="BJ70" s="67"/>
      <c r="BK70" s="67"/>
      <c r="BL70" s="67"/>
      <c r="BM70" s="70"/>
      <c r="BN70" s="70"/>
      <c r="BO70" s="70"/>
      <c r="BP70" s="70"/>
      <c r="BQ70" s="70"/>
      <c r="BR70" s="70"/>
      <c r="BS70" s="70"/>
      <c r="BT70" s="70"/>
      <c r="BU70" s="70"/>
      <c r="BV70" s="70"/>
      <c r="BW70" s="70"/>
      <c r="BX70" s="136"/>
      <c r="BY70" s="70"/>
      <c r="BZ70" s="67"/>
      <c r="CA70" s="67"/>
      <c r="CB70" s="67"/>
    </row>
    <row r="71" spans="1:80" s="28" customFormat="1" ht="16" customHeight="1">
      <c r="A71" s="39"/>
      <c r="B71" s="57"/>
      <c r="C71" s="67"/>
      <c r="D71" s="67"/>
      <c r="E71" s="39"/>
      <c r="F71" s="39"/>
      <c r="G71" s="39"/>
      <c r="H71" s="67"/>
      <c r="I71" s="60"/>
      <c r="J71" s="60"/>
      <c r="K71" s="60"/>
      <c r="L71" s="60"/>
      <c r="M71" s="60"/>
      <c r="N71" s="60"/>
      <c r="O71" s="60"/>
      <c r="P71" s="60"/>
      <c r="Q71" s="60"/>
      <c r="R71" s="60"/>
      <c r="S71" s="70"/>
      <c r="T71" s="70"/>
      <c r="U71" s="70"/>
      <c r="V71" s="70"/>
      <c r="W71" s="70"/>
      <c r="X71" s="70"/>
      <c r="Y71" s="70"/>
      <c r="Z71" s="70"/>
      <c r="AA71" s="70"/>
      <c r="AB71" s="70"/>
      <c r="AC71" s="70"/>
      <c r="AD71" s="136"/>
      <c r="AE71" s="24"/>
      <c r="AF71" s="24"/>
      <c r="AG71" s="73"/>
      <c r="AH71" s="125"/>
      <c r="AI71" s="103"/>
      <c r="AK71" s="113"/>
      <c r="AL71" s="113"/>
      <c r="AM71" s="113"/>
      <c r="AN71" s="113"/>
      <c r="AO71" s="137"/>
      <c r="AP71" s="137"/>
      <c r="AQ71" s="137"/>
      <c r="AR71" s="137"/>
      <c r="AS71" s="137"/>
      <c r="AT71" s="137"/>
      <c r="AU71" s="67"/>
      <c r="AV71" s="44"/>
      <c r="AW71" s="67"/>
      <c r="AX71" s="75"/>
      <c r="AY71" s="123"/>
      <c r="AZ71" s="67"/>
      <c r="BA71" s="138"/>
      <c r="BB71" s="67"/>
      <c r="BC71" s="67"/>
      <c r="BD71" s="67"/>
      <c r="BE71" s="67"/>
      <c r="BF71" s="67"/>
      <c r="BG71" s="67"/>
      <c r="BH71" s="67"/>
      <c r="BI71" s="67"/>
      <c r="BJ71" s="67"/>
      <c r="BK71" s="67"/>
      <c r="BL71" s="67"/>
      <c r="BM71" s="70"/>
      <c r="BN71" s="70"/>
      <c r="BO71" s="70"/>
      <c r="BP71" s="70"/>
      <c r="BQ71" s="70"/>
      <c r="BR71" s="70"/>
      <c r="BS71" s="70"/>
      <c r="BT71" s="70"/>
      <c r="BU71" s="70"/>
      <c r="BV71" s="70"/>
      <c r="BW71" s="70"/>
      <c r="BX71" s="136"/>
      <c r="BY71" s="70"/>
      <c r="BZ71" s="67"/>
      <c r="CA71" s="67"/>
      <c r="CB71" s="67"/>
    </row>
    <row r="72" spans="1:80" s="28" customFormat="1" ht="16" customHeight="1">
      <c r="A72" s="39"/>
      <c r="B72" s="57"/>
      <c r="C72" s="67"/>
      <c r="D72" s="67"/>
      <c r="E72" s="39"/>
      <c r="F72" s="39"/>
      <c r="G72" s="39"/>
      <c r="H72" s="67"/>
      <c r="I72" s="60"/>
      <c r="J72" s="60"/>
      <c r="K72" s="60"/>
      <c r="L72" s="60"/>
      <c r="M72" s="60"/>
      <c r="N72" s="60"/>
      <c r="O72" s="60"/>
      <c r="P72" s="60"/>
      <c r="Q72" s="60"/>
      <c r="R72" s="60"/>
      <c r="S72" s="70"/>
      <c r="T72" s="70"/>
      <c r="U72" s="70"/>
      <c r="V72" s="70"/>
      <c r="W72" s="70"/>
      <c r="X72" s="70"/>
      <c r="Y72" s="70"/>
      <c r="Z72" s="70"/>
      <c r="AA72" s="70"/>
      <c r="AB72" s="70"/>
      <c r="AC72" s="70"/>
      <c r="AD72" s="136"/>
      <c r="AE72" s="24"/>
      <c r="AF72" s="24"/>
      <c r="AG72" s="73"/>
      <c r="AH72" s="125"/>
      <c r="AI72" s="103"/>
      <c r="AK72" s="113"/>
      <c r="AL72" s="113"/>
      <c r="AM72" s="113"/>
      <c r="AN72" s="113"/>
      <c r="AO72" s="137"/>
      <c r="AP72" s="137"/>
      <c r="AQ72" s="137"/>
      <c r="AR72" s="137"/>
      <c r="AS72" s="137"/>
      <c r="AT72" s="137"/>
      <c r="AU72" s="67"/>
      <c r="AV72" s="44"/>
      <c r="AW72" s="67"/>
      <c r="AX72" s="75"/>
      <c r="AY72" s="123"/>
      <c r="AZ72" s="67"/>
      <c r="BA72" s="138"/>
      <c r="BB72" s="67"/>
      <c r="BC72" s="67"/>
      <c r="BD72" s="67"/>
      <c r="BE72" s="67"/>
      <c r="BF72" s="67"/>
      <c r="BG72" s="67"/>
      <c r="BH72" s="67"/>
      <c r="BI72" s="67"/>
      <c r="BJ72" s="67"/>
      <c r="BK72" s="67"/>
      <c r="BL72" s="67"/>
      <c r="BM72" s="70"/>
      <c r="BN72" s="70"/>
      <c r="BO72" s="70"/>
      <c r="BP72" s="70"/>
      <c r="BQ72" s="70"/>
      <c r="BR72" s="70"/>
      <c r="BS72" s="70"/>
      <c r="BT72" s="70"/>
      <c r="BU72" s="70"/>
      <c r="BV72" s="70"/>
      <c r="BW72" s="70"/>
      <c r="BX72" s="136"/>
      <c r="BY72" s="70"/>
      <c r="BZ72" s="67"/>
      <c r="CA72" s="67"/>
      <c r="CB72" s="67"/>
    </row>
    <row r="73" spans="1:80" s="28" customFormat="1" ht="16" customHeight="1">
      <c r="A73" s="39"/>
      <c r="B73" s="57"/>
      <c r="C73" s="67"/>
      <c r="D73" s="67"/>
      <c r="E73" s="39"/>
      <c r="F73" s="39"/>
      <c r="G73" s="39"/>
      <c r="H73" s="67"/>
      <c r="I73" s="60"/>
      <c r="J73" s="60"/>
      <c r="K73" s="60"/>
      <c r="L73" s="60"/>
      <c r="M73" s="60"/>
      <c r="N73" s="60"/>
      <c r="O73" s="60"/>
      <c r="P73" s="60"/>
      <c r="Q73" s="60"/>
      <c r="R73" s="60"/>
      <c r="S73" s="70"/>
      <c r="T73" s="70"/>
      <c r="U73" s="70"/>
      <c r="V73" s="70"/>
      <c r="W73" s="70"/>
      <c r="X73" s="70"/>
      <c r="Y73" s="70"/>
      <c r="Z73" s="70"/>
      <c r="AA73" s="70"/>
      <c r="AB73" s="70"/>
      <c r="AC73" s="70"/>
      <c r="AD73" s="136"/>
      <c r="AE73" s="24"/>
      <c r="AF73" s="24"/>
      <c r="AG73" s="73"/>
      <c r="AH73" s="125"/>
      <c r="AI73" s="103"/>
      <c r="AK73" s="113"/>
      <c r="AL73" s="113"/>
      <c r="AM73" s="113"/>
      <c r="AN73" s="113"/>
      <c r="AO73" s="137"/>
      <c r="AP73" s="137"/>
      <c r="AQ73" s="137"/>
      <c r="AR73" s="137"/>
      <c r="AS73" s="137"/>
      <c r="AT73" s="137"/>
      <c r="AU73" s="67"/>
      <c r="AV73" s="44"/>
      <c r="AW73" s="67"/>
      <c r="AX73" s="75"/>
      <c r="AY73" s="123"/>
      <c r="AZ73" s="67"/>
      <c r="BA73" s="138"/>
      <c r="BB73" s="67"/>
      <c r="BC73" s="67"/>
      <c r="BD73" s="67"/>
      <c r="BE73" s="67"/>
      <c r="BF73" s="67"/>
      <c r="BG73" s="67"/>
      <c r="BH73" s="67"/>
      <c r="BI73" s="67"/>
      <c r="BJ73" s="67"/>
      <c r="BK73" s="67"/>
      <c r="BL73" s="67"/>
      <c r="BM73" s="70"/>
      <c r="BN73" s="70"/>
      <c r="BO73" s="70"/>
      <c r="BP73" s="70"/>
      <c r="BQ73" s="70"/>
      <c r="BR73" s="70"/>
      <c r="BS73" s="70"/>
      <c r="BT73" s="70"/>
      <c r="BU73" s="70"/>
      <c r="BV73" s="70"/>
      <c r="BW73" s="70"/>
      <c r="BX73" s="136"/>
      <c r="BY73" s="70"/>
      <c r="BZ73" s="67"/>
      <c r="CA73" s="67"/>
      <c r="CB73" s="67"/>
    </row>
    <row r="74" spans="1:80" s="28" customFormat="1" ht="16" customHeight="1">
      <c r="A74" s="39"/>
      <c r="B74" s="57"/>
      <c r="C74" s="67"/>
      <c r="D74" s="67"/>
      <c r="E74" s="39"/>
      <c r="F74" s="39"/>
      <c r="G74" s="39"/>
      <c r="H74" s="67"/>
      <c r="I74" s="60"/>
      <c r="J74" s="60"/>
      <c r="K74" s="60"/>
      <c r="L74" s="60"/>
      <c r="M74" s="60"/>
      <c r="N74" s="60"/>
      <c r="O74" s="60"/>
      <c r="P74" s="60"/>
      <c r="Q74" s="60"/>
      <c r="R74" s="60"/>
      <c r="S74" s="70"/>
      <c r="T74" s="70"/>
      <c r="U74" s="70"/>
      <c r="V74" s="70"/>
      <c r="W74" s="70"/>
      <c r="X74" s="70"/>
      <c r="Y74" s="70"/>
      <c r="Z74" s="70"/>
      <c r="AA74" s="70"/>
      <c r="AB74" s="70"/>
      <c r="AC74" s="70"/>
      <c r="AD74" s="136"/>
      <c r="AE74" s="24"/>
      <c r="AF74" s="24"/>
      <c r="AG74" s="73"/>
      <c r="AH74" s="125"/>
      <c r="AI74" s="103"/>
      <c r="AK74" s="113"/>
      <c r="AL74" s="113"/>
      <c r="AM74" s="113"/>
      <c r="AN74" s="113"/>
      <c r="AO74" s="137"/>
      <c r="AP74" s="137"/>
      <c r="AQ74" s="137"/>
      <c r="AR74" s="137"/>
      <c r="AS74" s="137"/>
      <c r="AT74" s="137"/>
      <c r="AU74" s="67"/>
      <c r="AV74" s="44"/>
      <c r="AW74" s="67"/>
      <c r="AX74" s="75"/>
      <c r="AY74" s="123"/>
      <c r="AZ74" s="67"/>
      <c r="BA74" s="138"/>
      <c r="BB74" s="67"/>
      <c r="BC74" s="67"/>
      <c r="BD74" s="67"/>
      <c r="BE74" s="67"/>
      <c r="BF74" s="67"/>
      <c r="BG74" s="67"/>
      <c r="BH74" s="67"/>
      <c r="BI74" s="67"/>
      <c r="BJ74" s="67"/>
      <c r="BK74" s="67"/>
      <c r="BL74" s="67"/>
      <c r="BM74" s="70"/>
      <c r="BN74" s="70"/>
      <c r="BO74" s="70"/>
      <c r="BP74" s="70"/>
      <c r="BQ74" s="70"/>
      <c r="BR74" s="70"/>
      <c r="BS74" s="70"/>
      <c r="BT74" s="70"/>
      <c r="BU74" s="70"/>
      <c r="BV74" s="70"/>
      <c r="BW74" s="70"/>
      <c r="BX74" s="136"/>
      <c r="BY74" s="70"/>
      <c r="BZ74" s="67"/>
      <c r="CA74" s="67"/>
      <c r="CB74" s="67"/>
    </row>
    <row r="75" spans="1:80" s="28" customFormat="1" ht="16" customHeight="1">
      <c r="A75" s="39"/>
      <c r="B75" s="57"/>
      <c r="C75" s="67"/>
      <c r="D75" s="67"/>
      <c r="E75" s="39"/>
      <c r="F75" s="39"/>
      <c r="G75" s="39"/>
      <c r="H75" s="67"/>
      <c r="I75" s="60"/>
      <c r="J75" s="60"/>
      <c r="K75" s="60"/>
      <c r="L75" s="60"/>
      <c r="M75" s="60"/>
      <c r="N75" s="60"/>
      <c r="O75" s="60"/>
      <c r="P75" s="60"/>
      <c r="Q75" s="60"/>
      <c r="R75" s="60"/>
      <c r="S75" s="70"/>
      <c r="T75" s="70"/>
      <c r="U75" s="70"/>
      <c r="V75" s="70"/>
      <c r="W75" s="70"/>
      <c r="X75" s="70"/>
      <c r="Y75" s="70"/>
      <c r="Z75" s="70"/>
      <c r="AA75" s="70"/>
      <c r="AB75" s="70"/>
      <c r="AC75" s="70"/>
      <c r="AD75" s="136"/>
      <c r="AE75" s="24"/>
      <c r="AF75" s="24"/>
      <c r="AG75" s="73"/>
      <c r="AH75" s="125"/>
      <c r="AI75" s="103"/>
      <c r="AK75" s="113"/>
      <c r="AL75" s="113"/>
      <c r="AM75" s="113"/>
      <c r="AN75" s="113"/>
      <c r="AO75" s="137"/>
      <c r="AP75" s="137"/>
      <c r="AQ75" s="137"/>
      <c r="AR75" s="137"/>
      <c r="AS75" s="137"/>
      <c r="AT75" s="137"/>
      <c r="AU75" s="67"/>
      <c r="AV75" s="44"/>
      <c r="AW75" s="67"/>
      <c r="AX75" s="75"/>
      <c r="AY75" s="123"/>
      <c r="AZ75" s="67"/>
      <c r="BA75" s="138"/>
      <c r="BB75" s="67"/>
      <c r="BC75" s="67"/>
      <c r="BD75" s="67"/>
      <c r="BE75" s="67"/>
      <c r="BF75" s="67"/>
      <c r="BG75" s="67"/>
      <c r="BH75" s="67"/>
      <c r="BI75" s="67"/>
      <c r="BJ75" s="67"/>
      <c r="BK75" s="67"/>
      <c r="BL75" s="67"/>
      <c r="BM75" s="70"/>
      <c r="BN75" s="70"/>
      <c r="BO75" s="70"/>
      <c r="BP75" s="70"/>
      <c r="BQ75" s="70"/>
      <c r="BR75" s="70"/>
      <c r="BS75" s="70"/>
      <c r="BT75" s="70"/>
      <c r="BU75" s="70"/>
      <c r="BV75" s="70"/>
      <c r="BW75" s="70"/>
      <c r="BX75" s="136"/>
      <c r="BY75" s="70"/>
      <c r="BZ75" s="67"/>
      <c r="CA75" s="67"/>
      <c r="CB75" s="67"/>
    </row>
    <row r="76" spans="1:80" s="28" customFormat="1" ht="16" customHeight="1">
      <c r="A76" s="39"/>
      <c r="B76" s="57"/>
      <c r="C76" s="67"/>
      <c r="D76" s="67"/>
      <c r="E76" s="39"/>
      <c r="F76" s="39"/>
      <c r="G76" s="39"/>
      <c r="H76" s="67"/>
      <c r="I76" s="60"/>
      <c r="J76" s="60"/>
      <c r="K76" s="60"/>
      <c r="L76" s="60"/>
      <c r="M76" s="60"/>
      <c r="N76" s="60"/>
      <c r="O76" s="60"/>
      <c r="P76" s="60"/>
      <c r="Q76" s="60"/>
      <c r="R76" s="60"/>
      <c r="S76" s="70"/>
      <c r="T76" s="70"/>
      <c r="U76" s="70"/>
      <c r="V76" s="70"/>
      <c r="W76" s="70"/>
      <c r="X76" s="70"/>
      <c r="Y76" s="70"/>
      <c r="Z76" s="70"/>
      <c r="AA76" s="70"/>
      <c r="AB76" s="70"/>
      <c r="AC76" s="70"/>
      <c r="AD76" s="136"/>
      <c r="AE76" s="24"/>
      <c r="AF76" s="24"/>
      <c r="AG76" s="73"/>
      <c r="AH76" s="125"/>
      <c r="AI76" s="103"/>
      <c r="AK76" s="113"/>
      <c r="AL76" s="113"/>
      <c r="AM76" s="113"/>
      <c r="AN76" s="113"/>
      <c r="AO76" s="137"/>
      <c r="AP76" s="137"/>
      <c r="AQ76" s="137"/>
      <c r="AR76" s="137"/>
      <c r="AS76" s="137"/>
      <c r="AT76" s="137"/>
      <c r="AU76" s="67"/>
      <c r="AV76" s="44"/>
      <c r="AW76" s="67"/>
      <c r="AX76" s="75"/>
      <c r="AY76" s="123"/>
      <c r="AZ76" s="67"/>
      <c r="BA76" s="138"/>
      <c r="BB76" s="67"/>
      <c r="BC76" s="67"/>
      <c r="BD76" s="67"/>
      <c r="BE76" s="67"/>
      <c r="BF76" s="67"/>
      <c r="BG76" s="67"/>
      <c r="BH76" s="67"/>
      <c r="BI76" s="67"/>
      <c r="BJ76" s="67"/>
      <c r="BK76" s="67"/>
      <c r="BL76" s="67"/>
      <c r="BM76" s="70"/>
      <c r="BN76" s="70"/>
      <c r="BO76" s="70"/>
      <c r="BP76" s="70"/>
      <c r="BQ76" s="70"/>
      <c r="BR76" s="70"/>
      <c r="BS76" s="70"/>
      <c r="BT76" s="70"/>
      <c r="BU76" s="70"/>
      <c r="BV76" s="70"/>
      <c r="BW76" s="70"/>
      <c r="BX76" s="136"/>
      <c r="BY76" s="70"/>
      <c r="BZ76" s="67"/>
      <c r="CA76" s="67"/>
      <c r="CB76" s="67"/>
    </row>
    <row r="77" spans="1:80" s="28" customFormat="1" ht="16" customHeight="1">
      <c r="A77" s="39"/>
      <c r="B77" s="57"/>
      <c r="C77" s="67"/>
      <c r="D77" s="67"/>
      <c r="E77" s="39"/>
      <c r="F77" s="39"/>
      <c r="G77" s="39"/>
      <c r="H77" s="67"/>
      <c r="I77" s="60"/>
      <c r="J77" s="60"/>
      <c r="K77" s="60"/>
      <c r="L77" s="60"/>
      <c r="M77" s="60"/>
      <c r="N77" s="60"/>
      <c r="O77" s="60"/>
      <c r="P77" s="60"/>
      <c r="Q77" s="60"/>
      <c r="R77" s="60"/>
      <c r="S77" s="70"/>
      <c r="T77" s="70"/>
      <c r="U77" s="70"/>
      <c r="V77" s="70"/>
      <c r="W77" s="70"/>
      <c r="X77" s="70"/>
      <c r="Y77" s="70"/>
      <c r="Z77" s="70"/>
      <c r="AA77" s="70"/>
      <c r="AB77" s="70"/>
      <c r="AC77" s="70"/>
      <c r="AD77" s="136"/>
      <c r="AE77" s="24"/>
      <c r="AF77" s="24"/>
      <c r="AG77" s="73"/>
      <c r="AH77" s="125"/>
      <c r="AI77" s="103"/>
      <c r="AK77" s="113"/>
      <c r="AL77" s="113"/>
      <c r="AM77" s="113"/>
      <c r="AN77" s="113"/>
      <c r="AO77" s="137"/>
      <c r="AP77" s="137"/>
      <c r="AQ77" s="137"/>
      <c r="AR77" s="137"/>
      <c r="AS77" s="137"/>
      <c r="AT77" s="137"/>
      <c r="AU77" s="67"/>
      <c r="AV77" s="44"/>
      <c r="AW77" s="67"/>
      <c r="AX77" s="75"/>
      <c r="AY77" s="123"/>
      <c r="AZ77" s="67"/>
      <c r="BA77" s="138"/>
      <c r="BB77" s="67"/>
      <c r="BC77" s="67"/>
      <c r="BD77" s="67"/>
      <c r="BE77" s="67"/>
      <c r="BF77" s="67"/>
      <c r="BG77" s="67"/>
      <c r="BH77" s="67"/>
      <c r="BI77" s="67"/>
      <c r="BJ77" s="67"/>
      <c r="BK77" s="67"/>
      <c r="BL77" s="67"/>
      <c r="BM77" s="70"/>
      <c r="BN77" s="70"/>
      <c r="BO77" s="70"/>
      <c r="BP77" s="70"/>
      <c r="BQ77" s="70"/>
      <c r="BR77" s="70"/>
      <c r="BS77" s="70"/>
      <c r="BT77" s="70"/>
      <c r="BU77" s="70"/>
      <c r="BV77" s="70"/>
      <c r="BW77" s="70"/>
      <c r="BX77" s="136"/>
      <c r="BY77" s="70"/>
      <c r="BZ77" s="67"/>
      <c r="CA77" s="67"/>
      <c r="CB77" s="67"/>
    </row>
    <row r="78" spans="1:80" s="28" customFormat="1" ht="16" customHeight="1">
      <c r="A78" s="39"/>
      <c r="B78" s="57"/>
      <c r="C78" s="67"/>
      <c r="D78" s="67"/>
      <c r="E78" s="39"/>
      <c r="F78" s="39"/>
      <c r="G78" s="39"/>
      <c r="H78" s="67"/>
      <c r="I78" s="60"/>
      <c r="J78" s="60"/>
      <c r="K78" s="60"/>
      <c r="L78" s="60"/>
      <c r="M78" s="60"/>
      <c r="N78" s="60"/>
      <c r="O78" s="60"/>
      <c r="P78" s="60"/>
      <c r="Q78" s="60"/>
      <c r="R78" s="60"/>
      <c r="S78" s="70"/>
      <c r="T78" s="70"/>
      <c r="U78" s="70"/>
      <c r="V78" s="70"/>
      <c r="W78" s="70"/>
      <c r="X78" s="70"/>
      <c r="Y78" s="70"/>
      <c r="Z78" s="70"/>
      <c r="AA78" s="70"/>
      <c r="AB78" s="70"/>
      <c r="AC78" s="70"/>
      <c r="AD78" s="136"/>
      <c r="AE78" s="24"/>
      <c r="AF78" s="24"/>
      <c r="AG78" s="73"/>
      <c r="AH78" s="125"/>
      <c r="AI78" s="103"/>
      <c r="AK78" s="113"/>
      <c r="AL78" s="113"/>
      <c r="AM78" s="113"/>
      <c r="AN78" s="113"/>
      <c r="AO78" s="137"/>
      <c r="AP78" s="137"/>
      <c r="AQ78" s="137"/>
      <c r="AR78" s="137"/>
      <c r="AS78" s="137"/>
      <c r="AT78" s="137"/>
      <c r="AU78" s="67"/>
      <c r="AV78" s="44"/>
      <c r="AW78" s="67"/>
      <c r="AX78" s="75"/>
      <c r="AY78" s="123"/>
      <c r="AZ78" s="67"/>
      <c r="BA78" s="138"/>
      <c r="BB78" s="67"/>
      <c r="BC78" s="67"/>
      <c r="BD78" s="67"/>
      <c r="BE78" s="67"/>
      <c r="BF78" s="67"/>
      <c r="BG78" s="67"/>
      <c r="BH78" s="67"/>
      <c r="BI78" s="67"/>
      <c r="BJ78" s="67"/>
      <c r="BK78" s="67"/>
      <c r="BL78" s="67"/>
      <c r="BM78" s="70"/>
      <c r="BN78" s="70"/>
      <c r="BO78" s="70"/>
      <c r="BP78" s="70"/>
      <c r="BQ78" s="70"/>
      <c r="BR78" s="70"/>
      <c r="BS78" s="70"/>
      <c r="BT78" s="70"/>
      <c r="BU78" s="70"/>
      <c r="BV78" s="70"/>
      <c r="BW78" s="70"/>
      <c r="BX78" s="136"/>
      <c r="BY78" s="70"/>
      <c r="BZ78" s="67"/>
      <c r="CA78" s="67"/>
      <c r="CB78" s="67"/>
    </row>
    <row r="79" spans="1:80" s="28" customFormat="1" ht="16" customHeight="1">
      <c r="A79" s="39"/>
      <c r="B79" s="57"/>
      <c r="C79" s="67"/>
      <c r="D79" s="67"/>
      <c r="E79" s="39"/>
      <c r="F79" s="39"/>
      <c r="G79" s="39"/>
      <c r="H79" s="67"/>
      <c r="I79" s="60"/>
      <c r="J79" s="60"/>
      <c r="K79" s="60"/>
      <c r="L79" s="60"/>
      <c r="M79" s="60"/>
      <c r="N79" s="60"/>
      <c r="O79" s="60"/>
      <c r="P79" s="60"/>
      <c r="Q79" s="60"/>
      <c r="R79" s="60"/>
      <c r="S79" s="70"/>
      <c r="T79" s="70"/>
      <c r="U79" s="70"/>
      <c r="V79" s="70"/>
      <c r="W79" s="70"/>
      <c r="X79" s="70"/>
      <c r="Y79" s="70"/>
      <c r="Z79" s="70"/>
      <c r="AA79" s="70"/>
      <c r="AB79" s="70"/>
      <c r="AC79" s="70"/>
      <c r="AD79" s="136"/>
      <c r="AE79" s="24"/>
      <c r="AF79" s="24"/>
      <c r="AG79" s="73"/>
      <c r="AH79" s="125"/>
      <c r="AI79" s="103"/>
      <c r="AK79" s="113"/>
      <c r="AL79" s="113"/>
      <c r="AM79" s="113"/>
      <c r="AN79" s="113"/>
      <c r="AO79" s="137"/>
      <c r="AP79" s="137"/>
      <c r="AQ79" s="137"/>
      <c r="AR79" s="137"/>
      <c r="AS79" s="137"/>
      <c r="AT79" s="137"/>
      <c r="AU79" s="67"/>
      <c r="AV79" s="44"/>
      <c r="AW79" s="67"/>
      <c r="AX79" s="75"/>
      <c r="AY79" s="123"/>
      <c r="AZ79" s="67"/>
      <c r="BA79" s="138"/>
      <c r="BB79" s="67"/>
      <c r="BC79" s="67"/>
      <c r="BD79" s="67"/>
      <c r="BE79" s="67"/>
      <c r="BF79" s="67"/>
      <c r="BG79" s="67"/>
      <c r="BH79" s="67"/>
      <c r="BI79" s="67"/>
      <c r="BJ79" s="67"/>
      <c r="BK79" s="67"/>
      <c r="BL79" s="67"/>
      <c r="BM79" s="70"/>
      <c r="BN79" s="70"/>
      <c r="BO79" s="70"/>
      <c r="BP79" s="70"/>
      <c r="BQ79" s="70"/>
      <c r="BR79" s="70"/>
      <c r="BS79" s="70"/>
      <c r="BT79" s="70"/>
      <c r="BU79" s="70"/>
      <c r="BV79" s="70"/>
      <c r="BW79" s="70"/>
      <c r="BX79" s="136"/>
      <c r="BY79" s="70"/>
      <c r="BZ79" s="67"/>
      <c r="CA79" s="67"/>
      <c r="CB79" s="67"/>
    </row>
    <row r="80" spans="1:80" s="28" customFormat="1" ht="16" customHeight="1">
      <c r="A80" s="39"/>
      <c r="B80" s="57"/>
      <c r="C80" s="67"/>
      <c r="D80" s="67"/>
      <c r="E80" s="39"/>
      <c r="F80" s="39"/>
      <c r="G80" s="39"/>
      <c r="H80" s="67"/>
      <c r="I80" s="60"/>
      <c r="J80" s="60"/>
      <c r="K80" s="60"/>
      <c r="L80" s="60"/>
      <c r="M80" s="60"/>
      <c r="N80" s="60"/>
      <c r="O80" s="60"/>
      <c r="P80" s="60"/>
      <c r="Q80" s="60"/>
      <c r="R80" s="60"/>
      <c r="S80" s="70"/>
      <c r="T80" s="70"/>
      <c r="U80" s="70"/>
      <c r="V80" s="70"/>
      <c r="W80" s="70"/>
      <c r="X80" s="70"/>
      <c r="Y80" s="70"/>
      <c r="Z80" s="70"/>
      <c r="AA80" s="70"/>
      <c r="AB80" s="70"/>
      <c r="AC80" s="70"/>
      <c r="AD80" s="136"/>
      <c r="AE80" s="24"/>
      <c r="AF80" s="24"/>
      <c r="AG80" s="73"/>
      <c r="AH80" s="125"/>
      <c r="AI80" s="103"/>
      <c r="AK80" s="113"/>
      <c r="AL80" s="113"/>
      <c r="AM80" s="113"/>
      <c r="AN80" s="113"/>
      <c r="AO80" s="137"/>
      <c r="AP80" s="137"/>
      <c r="AQ80" s="137"/>
      <c r="AR80" s="137"/>
      <c r="AS80" s="137"/>
      <c r="AT80" s="137"/>
      <c r="AU80" s="67"/>
      <c r="AV80" s="44"/>
      <c r="AW80" s="67"/>
      <c r="AX80" s="75"/>
      <c r="AY80" s="123"/>
      <c r="AZ80" s="67"/>
      <c r="BA80" s="138"/>
      <c r="BB80" s="67"/>
      <c r="BC80" s="67"/>
      <c r="BD80" s="67"/>
      <c r="BE80" s="67"/>
      <c r="BF80" s="67"/>
      <c r="BG80" s="67"/>
      <c r="BH80" s="67"/>
      <c r="BI80" s="67"/>
      <c r="BJ80" s="67"/>
      <c r="BK80" s="67"/>
      <c r="BL80" s="67"/>
      <c r="BM80" s="70"/>
      <c r="BN80" s="70"/>
      <c r="BO80" s="70"/>
      <c r="BP80" s="70"/>
      <c r="BQ80" s="70"/>
      <c r="BR80" s="70"/>
      <c r="BS80" s="70"/>
      <c r="BT80" s="70"/>
      <c r="BU80" s="70"/>
      <c r="BV80" s="70"/>
      <c r="BW80" s="70"/>
      <c r="BX80" s="136"/>
      <c r="BY80" s="70"/>
      <c r="BZ80" s="67"/>
      <c r="CA80" s="67"/>
      <c r="CB80" s="67"/>
    </row>
    <row r="81" spans="1:80" s="28" customFormat="1" ht="16" customHeight="1">
      <c r="A81" s="39"/>
      <c r="B81" s="57"/>
      <c r="C81" s="67"/>
      <c r="D81" s="67"/>
      <c r="E81" s="39"/>
      <c r="F81" s="39"/>
      <c r="G81" s="39"/>
      <c r="H81" s="67"/>
      <c r="I81" s="60"/>
      <c r="J81" s="60"/>
      <c r="K81" s="60"/>
      <c r="L81" s="60"/>
      <c r="M81" s="60"/>
      <c r="N81" s="60"/>
      <c r="O81" s="60"/>
      <c r="P81" s="60"/>
      <c r="Q81" s="60"/>
      <c r="R81" s="60"/>
      <c r="S81" s="70"/>
      <c r="T81" s="70"/>
      <c r="U81" s="70"/>
      <c r="V81" s="70"/>
      <c r="W81" s="70"/>
      <c r="X81" s="70"/>
      <c r="Y81" s="70"/>
      <c r="Z81" s="70"/>
      <c r="AA81" s="70"/>
      <c r="AB81" s="70"/>
      <c r="AC81" s="70"/>
      <c r="AD81" s="136"/>
      <c r="AE81" s="24"/>
      <c r="AF81" s="24"/>
      <c r="AG81" s="73"/>
      <c r="AH81" s="125"/>
      <c r="AI81" s="103"/>
      <c r="AK81" s="113"/>
      <c r="AL81" s="113"/>
      <c r="AM81" s="113"/>
      <c r="AN81" s="113"/>
      <c r="AO81" s="137"/>
      <c r="AP81" s="137"/>
      <c r="AQ81" s="137"/>
      <c r="AR81" s="137"/>
      <c r="AS81" s="137"/>
      <c r="AT81" s="137"/>
      <c r="AU81" s="67"/>
      <c r="AV81" s="44"/>
      <c r="AW81" s="67"/>
      <c r="AX81" s="75"/>
      <c r="AY81" s="123"/>
      <c r="AZ81" s="67"/>
      <c r="BA81" s="138"/>
      <c r="BB81" s="67"/>
      <c r="BC81" s="67"/>
      <c r="BD81" s="67"/>
      <c r="BE81" s="67"/>
      <c r="BF81" s="67"/>
      <c r="BG81" s="67"/>
      <c r="BH81" s="67"/>
      <c r="BI81" s="67"/>
      <c r="BJ81" s="67"/>
      <c r="BK81" s="67"/>
      <c r="BL81" s="67"/>
      <c r="BM81" s="70"/>
      <c r="BN81" s="70"/>
      <c r="BO81" s="70"/>
      <c r="BP81" s="70"/>
      <c r="BQ81" s="70"/>
      <c r="BR81" s="70"/>
      <c r="BS81" s="70"/>
      <c r="BT81" s="70"/>
      <c r="BU81" s="70"/>
      <c r="BV81" s="70"/>
      <c r="BW81" s="70"/>
      <c r="BX81" s="136"/>
      <c r="BY81" s="70"/>
      <c r="BZ81" s="67"/>
      <c r="CA81" s="67"/>
      <c r="CB81" s="67"/>
    </row>
    <row r="82" spans="1:80" s="28" customFormat="1" ht="16" customHeight="1">
      <c r="A82" s="39"/>
      <c r="B82" s="57"/>
      <c r="C82" s="67"/>
      <c r="D82" s="67"/>
      <c r="E82" s="39"/>
      <c r="F82" s="39"/>
      <c r="G82" s="39"/>
      <c r="H82" s="67"/>
      <c r="I82" s="60"/>
      <c r="J82" s="60"/>
      <c r="K82" s="60"/>
      <c r="L82" s="60"/>
      <c r="M82" s="60"/>
      <c r="N82" s="60"/>
      <c r="O82" s="60"/>
      <c r="P82" s="60"/>
      <c r="Q82" s="60"/>
      <c r="R82" s="60"/>
      <c r="S82" s="70"/>
      <c r="T82" s="70"/>
      <c r="U82" s="70"/>
      <c r="V82" s="70"/>
      <c r="W82" s="70"/>
      <c r="X82" s="70"/>
      <c r="Y82" s="70"/>
      <c r="Z82" s="70"/>
      <c r="AA82" s="70"/>
      <c r="AB82" s="70"/>
      <c r="AC82" s="70"/>
      <c r="AD82" s="136"/>
      <c r="AE82" s="24"/>
      <c r="AF82" s="24"/>
      <c r="AG82" s="73"/>
      <c r="AH82" s="125"/>
      <c r="AI82" s="103"/>
      <c r="AK82" s="113"/>
      <c r="AL82" s="113"/>
      <c r="AM82" s="113"/>
      <c r="AN82" s="113"/>
      <c r="AO82" s="137"/>
      <c r="AP82" s="137"/>
      <c r="AQ82" s="137"/>
      <c r="AR82" s="137"/>
      <c r="AS82" s="137"/>
      <c r="AT82" s="137"/>
      <c r="AU82" s="67"/>
      <c r="AV82" s="44"/>
      <c r="AW82" s="67"/>
      <c r="AX82" s="75"/>
      <c r="AY82" s="123"/>
      <c r="AZ82" s="67"/>
      <c r="BA82" s="138"/>
      <c r="BB82" s="67"/>
      <c r="BC82" s="67"/>
      <c r="BD82" s="67"/>
      <c r="BE82" s="67"/>
      <c r="BF82" s="67"/>
      <c r="BG82" s="67"/>
      <c r="BH82" s="67"/>
      <c r="BI82" s="67"/>
      <c r="BJ82" s="67"/>
      <c r="BK82" s="67"/>
      <c r="BL82" s="67"/>
      <c r="BM82" s="70"/>
      <c r="BN82" s="70"/>
      <c r="BO82" s="70"/>
      <c r="BP82" s="70"/>
      <c r="BQ82" s="70"/>
      <c r="BR82" s="70"/>
      <c r="BS82" s="70"/>
      <c r="BT82" s="70"/>
      <c r="BU82" s="70"/>
      <c r="BV82" s="70"/>
      <c r="BW82" s="70"/>
      <c r="BX82" s="136"/>
      <c r="BY82" s="70"/>
      <c r="BZ82" s="67"/>
      <c r="CA82" s="67"/>
      <c r="CB82" s="67"/>
    </row>
    <row r="83" spans="1:80" s="28" customFormat="1" ht="16" customHeight="1">
      <c r="A83" s="39"/>
      <c r="B83" s="57"/>
      <c r="C83" s="67"/>
      <c r="D83" s="67"/>
      <c r="E83" s="39"/>
      <c r="F83" s="39"/>
      <c r="G83" s="39"/>
      <c r="H83" s="67"/>
      <c r="I83" s="60"/>
      <c r="J83" s="60"/>
      <c r="K83" s="60"/>
      <c r="L83" s="60"/>
      <c r="M83" s="60"/>
      <c r="N83" s="60"/>
      <c r="O83" s="60"/>
      <c r="P83" s="60"/>
      <c r="Q83" s="60"/>
      <c r="R83" s="60"/>
      <c r="S83" s="70"/>
      <c r="T83" s="70"/>
      <c r="U83" s="70"/>
      <c r="V83" s="70"/>
      <c r="W83" s="70"/>
      <c r="X83" s="70"/>
      <c r="Y83" s="70"/>
      <c r="Z83" s="70"/>
      <c r="AA83" s="70"/>
      <c r="AB83" s="70"/>
      <c r="AC83" s="70"/>
      <c r="AD83" s="136"/>
      <c r="AE83" s="24"/>
      <c r="AF83" s="24"/>
      <c r="AG83" s="73"/>
      <c r="AH83" s="125"/>
      <c r="AI83" s="103"/>
      <c r="AK83" s="113"/>
      <c r="AL83" s="113"/>
      <c r="AM83" s="113"/>
      <c r="AN83" s="113"/>
      <c r="AO83" s="137"/>
      <c r="AP83" s="137"/>
      <c r="AQ83" s="137"/>
      <c r="AR83" s="137"/>
      <c r="AS83" s="137"/>
      <c r="AT83" s="137"/>
      <c r="AU83" s="67"/>
      <c r="AV83" s="44"/>
      <c r="AW83" s="67"/>
      <c r="AX83" s="75"/>
      <c r="AY83" s="123"/>
      <c r="AZ83" s="67"/>
      <c r="BA83" s="138"/>
      <c r="BB83" s="67"/>
      <c r="BC83" s="67"/>
      <c r="BD83" s="67"/>
      <c r="BE83" s="67"/>
      <c r="BF83" s="67"/>
      <c r="BG83" s="67"/>
      <c r="BH83" s="67"/>
      <c r="BI83" s="67"/>
      <c r="BJ83" s="67"/>
      <c r="BK83" s="67"/>
      <c r="BL83" s="67"/>
      <c r="BM83" s="70"/>
      <c r="BN83" s="70"/>
      <c r="BO83" s="70"/>
      <c r="BP83" s="70"/>
      <c r="BQ83" s="70"/>
      <c r="BR83" s="70"/>
      <c r="BS83" s="70"/>
      <c r="BT83" s="70"/>
      <c r="BU83" s="70"/>
      <c r="BV83" s="70"/>
      <c r="BW83" s="70"/>
      <c r="BX83" s="136"/>
      <c r="BY83" s="70"/>
      <c r="BZ83" s="67"/>
      <c r="CA83" s="67"/>
      <c r="CB83" s="67"/>
    </row>
    <row r="84" spans="1:80" s="28" customFormat="1" ht="16" customHeight="1">
      <c r="A84" s="39"/>
      <c r="B84" s="57"/>
      <c r="C84" s="67"/>
      <c r="D84" s="67"/>
      <c r="E84" s="39"/>
      <c r="F84" s="39"/>
      <c r="G84" s="39"/>
      <c r="H84" s="67"/>
      <c r="I84" s="60"/>
      <c r="J84" s="60"/>
      <c r="K84" s="60"/>
      <c r="L84" s="60"/>
      <c r="M84" s="60"/>
      <c r="N84" s="60"/>
      <c r="O84" s="60"/>
      <c r="P84" s="60"/>
      <c r="Q84" s="60"/>
      <c r="R84" s="60"/>
      <c r="S84" s="70"/>
      <c r="T84" s="70"/>
      <c r="U84" s="70"/>
      <c r="V84" s="70"/>
      <c r="W84" s="70"/>
      <c r="X84" s="70"/>
      <c r="Y84" s="70"/>
      <c r="Z84" s="70"/>
      <c r="AA84" s="70"/>
      <c r="AB84" s="70"/>
      <c r="AC84" s="70"/>
      <c r="AD84" s="136"/>
      <c r="AE84" s="24"/>
      <c r="AF84" s="24"/>
      <c r="AG84" s="73"/>
      <c r="AH84" s="125"/>
      <c r="AI84" s="103"/>
      <c r="AK84" s="113"/>
      <c r="AL84" s="113"/>
      <c r="AM84" s="113"/>
      <c r="AN84" s="113"/>
      <c r="AO84" s="137"/>
      <c r="AP84" s="137"/>
      <c r="AQ84" s="137"/>
      <c r="AR84" s="137"/>
      <c r="AS84" s="137"/>
      <c r="AT84" s="137"/>
      <c r="AU84" s="67"/>
      <c r="AV84" s="44"/>
      <c r="AW84" s="67"/>
      <c r="AX84" s="75"/>
      <c r="AY84" s="123"/>
      <c r="AZ84" s="67"/>
      <c r="BA84" s="138"/>
      <c r="BB84" s="67"/>
      <c r="BC84" s="67"/>
      <c r="BD84" s="67"/>
      <c r="BE84" s="67"/>
      <c r="BF84" s="67"/>
      <c r="BG84" s="67"/>
      <c r="BH84" s="67"/>
      <c r="BI84" s="67"/>
      <c r="BJ84" s="67"/>
      <c r="BK84" s="67"/>
      <c r="BL84" s="67"/>
      <c r="BM84" s="70"/>
      <c r="BN84" s="70"/>
      <c r="BO84" s="70"/>
      <c r="BP84" s="70"/>
      <c r="BQ84" s="70"/>
      <c r="BR84" s="70"/>
      <c r="BS84" s="70"/>
      <c r="BT84" s="70"/>
      <c r="BU84" s="70"/>
      <c r="BV84" s="70"/>
      <c r="BW84" s="70"/>
      <c r="BX84" s="136"/>
      <c r="BY84" s="70"/>
      <c r="BZ84" s="67"/>
      <c r="CA84" s="67"/>
      <c r="CB84" s="67"/>
    </row>
    <row r="85" spans="1:80" s="28" customFormat="1" ht="16" customHeight="1">
      <c r="A85" s="39"/>
      <c r="B85" s="57"/>
      <c r="C85" s="67"/>
      <c r="D85" s="67"/>
      <c r="E85" s="39"/>
      <c r="F85" s="39"/>
      <c r="G85" s="39"/>
      <c r="H85" s="67"/>
      <c r="I85" s="60"/>
      <c r="J85" s="60"/>
      <c r="K85" s="60"/>
      <c r="L85" s="60"/>
      <c r="M85" s="60"/>
      <c r="N85" s="60"/>
      <c r="O85" s="60"/>
      <c r="P85" s="60"/>
      <c r="Q85" s="60"/>
      <c r="R85" s="60"/>
      <c r="S85" s="70"/>
      <c r="T85" s="70"/>
      <c r="U85" s="70"/>
      <c r="V85" s="70"/>
      <c r="W85" s="70"/>
      <c r="X85" s="70"/>
      <c r="Y85" s="70"/>
      <c r="Z85" s="70"/>
      <c r="AA85" s="70"/>
      <c r="AB85" s="70"/>
      <c r="AC85" s="70"/>
      <c r="AD85" s="136"/>
      <c r="AE85" s="24"/>
      <c r="AF85" s="24"/>
      <c r="AG85" s="73"/>
      <c r="AH85" s="125"/>
      <c r="AI85" s="103"/>
      <c r="AK85" s="113"/>
      <c r="AL85" s="113"/>
      <c r="AM85" s="113"/>
      <c r="AN85" s="113"/>
      <c r="AO85" s="137"/>
      <c r="AP85" s="137"/>
      <c r="AQ85" s="137"/>
      <c r="AR85" s="137"/>
      <c r="AS85" s="137"/>
      <c r="AT85" s="137"/>
      <c r="AU85" s="67"/>
      <c r="AV85" s="44"/>
      <c r="AW85" s="67"/>
      <c r="AX85" s="75"/>
      <c r="AY85" s="123"/>
      <c r="AZ85" s="67"/>
      <c r="BA85" s="138"/>
      <c r="BB85" s="67"/>
      <c r="BC85" s="67"/>
      <c r="BD85" s="67"/>
      <c r="BE85" s="67"/>
      <c r="BF85" s="67"/>
      <c r="BG85" s="67"/>
      <c r="BH85" s="67"/>
      <c r="BI85" s="67"/>
      <c r="BJ85" s="67"/>
      <c r="BK85" s="67"/>
      <c r="BL85" s="67"/>
      <c r="BM85" s="70"/>
      <c r="BN85" s="70"/>
      <c r="BO85" s="70"/>
      <c r="BP85" s="70"/>
      <c r="BQ85" s="70"/>
      <c r="BR85" s="70"/>
      <c r="BS85" s="70"/>
      <c r="BT85" s="70"/>
      <c r="BU85" s="70"/>
      <c r="BV85" s="70"/>
      <c r="BW85" s="70"/>
      <c r="BX85" s="136"/>
      <c r="BY85" s="70"/>
      <c r="BZ85" s="67"/>
      <c r="CA85" s="67"/>
      <c r="CB85" s="67"/>
    </row>
    <row r="86" spans="1:80" s="28" customFormat="1" ht="16" customHeight="1">
      <c r="A86" s="39"/>
      <c r="B86" s="57"/>
      <c r="C86" s="67"/>
      <c r="D86" s="67"/>
      <c r="E86" s="39"/>
      <c r="F86" s="39"/>
      <c r="G86" s="39"/>
      <c r="H86" s="67"/>
      <c r="I86" s="60"/>
      <c r="J86" s="60"/>
      <c r="K86" s="60"/>
      <c r="L86" s="60"/>
      <c r="M86" s="60"/>
      <c r="N86" s="60"/>
      <c r="O86" s="60"/>
      <c r="P86" s="60"/>
      <c r="Q86" s="60"/>
      <c r="R86" s="60"/>
      <c r="S86" s="70"/>
      <c r="T86" s="70"/>
      <c r="U86" s="70"/>
      <c r="V86" s="70"/>
      <c r="W86" s="70"/>
      <c r="X86" s="70"/>
      <c r="Y86" s="70"/>
      <c r="Z86" s="70"/>
      <c r="AA86" s="70"/>
      <c r="AB86" s="70"/>
      <c r="AC86" s="70"/>
      <c r="AD86" s="136"/>
      <c r="AE86" s="24"/>
      <c r="AF86" s="24"/>
      <c r="AG86" s="73"/>
      <c r="AH86" s="125"/>
      <c r="AI86" s="103"/>
      <c r="AK86" s="113"/>
      <c r="AL86" s="113"/>
      <c r="AM86" s="113"/>
      <c r="AN86" s="113"/>
      <c r="AO86" s="137"/>
      <c r="AP86" s="137"/>
      <c r="AQ86" s="137"/>
      <c r="AR86" s="137"/>
      <c r="AS86" s="137"/>
      <c r="AT86" s="137"/>
      <c r="AU86" s="67"/>
      <c r="AV86" s="44"/>
      <c r="AW86" s="67"/>
      <c r="AX86" s="75"/>
      <c r="AY86" s="123"/>
      <c r="AZ86" s="67"/>
      <c r="BA86" s="138"/>
      <c r="BB86" s="67"/>
      <c r="BC86" s="67"/>
      <c r="BD86" s="67"/>
      <c r="BE86" s="67"/>
      <c r="BF86" s="67"/>
      <c r="BG86" s="67"/>
      <c r="BH86" s="67"/>
      <c r="BI86" s="67"/>
      <c r="BJ86" s="67"/>
      <c r="BK86" s="67"/>
      <c r="BL86" s="67"/>
      <c r="BM86" s="70"/>
      <c r="BN86" s="70"/>
      <c r="BO86" s="70"/>
      <c r="BP86" s="70"/>
      <c r="BQ86" s="70"/>
      <c r="BR86" s="70"/>
      <c r="BS86" s="70"/>
      <c r="BT86" s="70"/>
      <c r="BU86" s="70"/>
      <c r="BV86" s="70"/>
      <c r="BW86" s="70"/>
      <c r="BX86" s="136"/>
      <c r="BY86" s="70"/>
      <c r="BZ86" s="67"/>
      <c r="CA86" s="67"/>
      <c r="CB86" s="67"/>
    </row>
    <row r="87" spans="1:80" s="28" customFormat="1" ht="16" customHeight="1">
      <c r="A87" s="39"/>
      <c r="B87" s="57"/>
      <c r="C87" s="67"/>
      <c r="D87" s="67"/>
      <c r="E87" s="39"/>
      <c r="F87" s="39"/>
      <c r="G87" s="39"/>
      <c r="H87" s="67"/>
      <c r="I87" s="60"/>
      <c r="J87" s="60"/>
      <c r="K87" s="60"/>
      <c r="L87" s="60"/>
      <c r="M87" s="60"/>
      <c r="N87" s="60"/>
      <c r="O87" s="60"/>
      <c r="P87" s="60"/>
      <c r="Q87" s="60"/>
      <c r="R87" s="60"/>
      <c r="S87" s="70"/>
      <c r="T87" s="70"/>
      <c r="U87" s="70"/>
      <c r="V87" s="70"/>
      <c r="W87" s="70"/>
      <c r="X87" s="70"/>
      <c r="Y87" s="70"/>
      <c r="Z87" s="70"/>
      <c r="AA87" s="70"/>
      <c r="AB87" s="70"/>
      <c r="AC87" s="70"/>
      <c r="AD87" s="136"/>
      <c r="AE87" s="24"/>
      <c r="AF87" s="24"/>
      <c r="AG87" s="73"/>
      <c r="AH87" s="125"/>
      <c r="AI87" s="103"/>
      <c r="AK87" s="113"/>
      <c r="AL87" s="113"/>
      <c r="AM87" s="113"/>
      <c r="AN87" s="113"/>
      <c r="AO87" s="137"/>
      <c r="AP87" s="137"/>
      <c r="AQ87" s="137"/>
      <c r="AR87" s="137"/>
      <c r="AS87" s="137"/>
      <c r="AT87" s="137"/>
      <c r="AU87" s="67"/>
      <c r="AV87" s="44"/>
      <c r="AW87" s="67"/>
      <c r="AX87" s="75"/>
      <c r="AY87" s="123"/>
      <c r="AZ87" s="67"/>
      <c r="BA87" s="138"/>
      <c r="BB87" s="67"/>
      <c r="BC87" s="67"/>
      <c r="BD87" s="67"/>
      <c r="BE87" s="67"/>
      <c r="BF87" s="67"/>
      <c r="BG87" s="67"/>
      <c r="BH87" s="67"/>
      <c r="BI87" s="67"/>
      <c r="BJ87" s="67"/>
      <c r="BK87" s="67"/>
      <c r="BL87" s="67"/>
      <c r="BM87" s="70"/>
      <c r="BN87" s="70"/>
      <c r="BO87" s="70"/>
      <c r="BP87" s="70"/>
      <c r="BQ87" s="70"/>
      <c r="BR87" s="70"/>
      <c r="BS87" s="70"/>
      <c r="BT87" s="70"/>
      <c r="BU87" s="70"/>
      <c r="BV87" s="70"/>
      <c r="BW87" s="70"/>
      <c r="BX87" s="136"/>
      <c r="BY87" s="70"/>
      <c r="BZ87" s="67"/>
      <c r="CA87" s="67"/>
      <c r="CB87" s="67"/>
    </row>
    <row r="88" spans="1:80" s="28" customFormat="1" ht="16" customHeight="1">
      <c r="A88" s="39"/>
      <c r="B88" s="57"/>
      <c r="C88" s="67"/>
      <c r="D88" s="67"/>
      <c r="E88" s="39"/>
      <c r="F88" s="39"/>
      <c r="G88" s="39"/>
      <c r="H88" s="67"/>
      <c r="I88" s="60"/>
      <c r="J88" s="60"/>
      <c r="K88" s="60"/>
      <c r="L88" s="60"/>
      <c r="M88" s="60"/>
      <c r="N88" s="60"/>
      <c r="O88" s="60"/>
      <c r="P88" s="60"/>
      <c r="Q88" s="60"/>
      <c r="R88" s="60"/>
      <c r="S88" s="70"/>
      <c r="T88" s="70"/>
      <c r="U88" s="70"/>
      <c r="V88" s="70"/>
      <c r="W88" s="70"/>
      <c r="X88" s="70"/>
      <c r="Y88" s="70"/>
      <c r="Z88" s="70"/>
      <c r="AA88" s="70"/>
      <c r="AB88" s="70"/>
      <c r="AC88" s="70"/>
      <c r="AD88" s="136"/>
      <c r="AE88" s="24"/>
      <c r="AF88" s="24"/>
      <c r="AG88" s="73"/>
      <c r="AH88" s="125"/>
      <c r="AI88" s="103"/>
      <c r="AK88" s="113"/>
      <c r="AL88" s="113"/>
      <c r="AM88" s="113"/>
      <c r="AN88" s="113"/>
      <c r="AO88" s="137"/>
      <c r="AP88" s="137"/>
      <c r="AQ88" s="137"/>
      <c r="AR88" s="137"/>
      <c r="AS88" s="137"/>
      <c r="AT88" s="137"/>
      <c r="AU88" s="67"/>
      <c r="AV88" s="44"/>
      <c r="AW88" s="67"/>
      <c r="AX88" s="75"/>
      <c r="AY88" s="123"/>
      <c r="AZ88" s="67"/>
      <c r="BA88" s="138"/>
      <c r="BB88" s="67"/>
      <c r="BC88" s="67"/>
      <c r="BD88" s="67"/>
      <c r="BE88" s="67"/>
      <c r="BF88" s="67"/>
      <c r="BG88" s="67"/>
      <c r="BH88" s="67"/>
      <c r="BI88" s="67"/>
      <c r="BJ88" s="67"/>
      <c r="BK88" s="67"/>
      <c r="BL88" s="67"/>
      <c r="BM88" s="70"/>
      <c r="BN88" s="70"/>
      <c r="BO88" s="70"/>
      <c r="BP88" s="70"/>
      <c r="BQ88" s="70"/>
      <c r="BR88" s="70"/>
      <c r="BS88" s="70"/>
      <c r="BT88" s="70"/>
      <c r="BU88" s="70"/>
      <c r="BV88" s="70"/>
      <c r="BW88" s="70"/>
      <c r="BX88" s="136"/>
      <c r="BY88" s="70"/>
      <c r="BZ88" s="67"/>
      <c r="CA88" s="67"/>
      <c r="CB88" s="67"/>
    </row>
    <row r="89" spans="1:80" s="28" customFormat="1" ht="16" customHeight="1">
      <c r="A89" s="39"/>
      <c r="B89" s="57"/>
      <c r="C89" s="67"/>
      <c r="D89" s="67"/>
      <c r="E89" s="39"/>
      <c r="F89" s="39"/>
      <c r="G89" s="39"/>
      <c r="H89" s="67"/>
      <c r="I89" s="60"/>
      <c r="J89" s="60"/>
      <c r="K89" s="60"/>
      <c r="L89" s="60"/>
      <c r="M89" s="60"/>
      <c r="N89" s="60"/>
      <c r="O89" s="60"/>
      <c r="P89" s="60"/>
      <c r="Q89" s="60"/>
      <c r="R89" s="60"/>
      <c r="S89" s="70"/>
      <c r="T89" s="70"/>
      <c r="U89" s="70"/>
      <c r="V89" s="70"/>
      <c r="W89" s="70"/>
      <c r="X89" s="70"/>
      <c r="Y89" s="70"/>
      <c r="Z89" s="70"/>
      <c r="AA89" s="70"/>
      <c r="AB89" s="70"/>
      <c r="AC89" s="70"/>
      <c r="AD89" s="136"/>
      <c r="AE89" s="24"/>
      <c r="AF89" s="24"/>
      <c r="AG89" s="73"/>
      <c r="AH89" s="125"/>
      <c r="AI89" s="103"/>
      <c r="AK89" s="113"/>
      <c r="AL89" s="113"/>
      <c r="AM89" s="113"/>
      <c r="AN89" s="113"/>
      <c r="AO89" s="137"/>
      <c r="AP89" s="137"/>
      <c r="AQ89" s="137"/>
      <c r="AR89" s="137"/>
      <c r="AS89" s="137"/>
      <c r="AT89" s="137"/>
      <c r="AU89" s="67"/>
      <c r="AV89" s="44"/>
      <c r="AW89" s="67"/>
      <c r="AX89" s="75"/>
      <c r="AY89" s="123"/>
      <c r="AZ89" s="67"/>
      <c r="BA89" s="138"/>
      <c r="BB89" s="67"/>
      <c r="BC89" s="67"/>
      <c r="BD89" s="67"/>
      <c r="BE89" s="67"/>
      <c r="BF89" s="67"/>
      <c r="BG89" s="67"/>
      <c r="BH89" s="67"/>
      <c r="BI89" s="67"/>
      <c r="BJ89" s="67"/>
      <c r="BK89" s="67"/>
      <c r="BL89" s="67"/>
      <c r="BM89" s="70"/>
      <c r="BN89" s="70"/>
      <c r="BO89" s="70"/>
      <c r="BP89" s="70"/>
      <c r="BQ89" s="70"/>
      <c r="BR89" s="70"/>
      <c r="BS89" s="70"/>
      <c r="BT89" s="70"/>
      <c r="BU89" s="70"/>
      <c r="BV89" s="70"/>
      <c r="BW89" s="70"/>
      <c r="BX89" s="136"/>
      <c r="BY89" s="70"/>
      <c r="BZ89" s="67"/>
      <c r="CA89" s="67"/>
      <c r="CB89" s="67"/>
    </row>
    <row r="90" spans="1:80" s="28" customFormat="1" ht="16" customHeight="1">
      <c r="A90" s="39"/>
      <c r="B90" s="57"/>
      <c r="C90" s="67"/>
      <c r="D90" s="67"/>
      <c r="E90" s="39"/>
      <c r="F90" s="39"/>
      <c r="G90" s="39"/>
      <c r="H90" s="67"/>
      <c r="I90" s="60"/>
      <c r="J90" s="60"/>
      <c r="K90" s="60"/>
      <c r="L90" s="60"/>
      <c r="M90" s="60"/>
      <c r="N90" s="60"/>
      <c r="O90" s="60"/>
      <c r="P90" s="60"/>
      <c r="Q90" s="60"/>
      <c r="R90" s="60"/>
      <c r="S90" s="70"/>
      <c r="T90" s="70"/>
      <c r="U90" s="70"/>
      <c r="V90" s="70"/>
      <c r="W90" s="70"/>
      <c r="X90" s="70"/>
      <c r="Y90" s="70"/>
      <c r="Z90" s="70"/>
      <c r="AA90" s="70"/>
      <c r="AB90" s="70"/>
      <c r="AC90" s="70"/>
      <c r="AD90" s="136"/>
      <c r="AE90" s="24"/>
      <c r="AF90" s="24"/>
      <c r="AG90" s="73"/>
      <c r="AH90" s="125"/>
      <c r="AI90" s="103"/>
      <c r="AK90" s="113"/>
      <c r="AL90" s="113"/>
      <c r="AM90" s="113"/>
      <c r="AN90" s="113"/>
      <c r="AO90" s="137"/>
      <c r="AP90" s="137"/>
      <c r="AQ90" s="137"/>
      <c r="AR90" s="137"/>
      <c r="AS90" s="137"/>
      <c r="AT90" s="137"/>
      <c r="AU90" s="67"/>
      <c r="AV90" s="44"/>
      <c r="AW90" s="67"/>
      <c r="AX90" s="75"/>
      <c r="AY90" s="123"/>
      <c r="AZ90" s="67"/>
      <c r="BA90" s="138"/>
      <c r="BB90" s="67"/>
      <c r="BC90" s="67"/>
      <c r="BD90" s="67"/>
      <c r="BE90" s="67"/>
      <c r="BF90" s="67"/>
      <c r="BG90" s="67"/>
      <c r="BH90" s="67"/>
      <c r="BI90" s="67"/>
      <c r="BJ90" s="67"/>
      <c r="BK90" s="67"/>
      <c r="BL90" s="67"/>
      <c r="BM90" s="70"/>
      <c r="BN90" s="70"/>
      <c r="BO90" s="70"/>
      <c r="BP90" s="70"/>
      <c r="BQ90" s="70"/>
      <c r="BR90" s="70"/>
      <c r="BS90" s="70"/>
      <c r="BT90" s="70"/>
      <c r="BU90" s="70"/>
      <c r="BV90" s="70"/>
      <c r="BW90" s="70"/>
      <c r="BX90" s="136"/>
      <c r="BY90" s="70"/>
      <c r="BZ90" s="67"/>
      <c r="CA90" s="67"/>
      <c r="CB90" s="67"/>
    </row>
    <row r="91" spans="1:80" s="28" customFormat="1" ht="16" customHeight="1">
      <c r="A91" s="39"/>
      <c r="B91" s="57"/>
      <c r="C91" s="67"/>
      <c r="D91" s="67"/>
      <c r="E91" s="39"/>
      <c r="F91" s="39"/>
      <c r="G91" s="39"/>
      <c r="H91" s="67"/>
      <c r="I91" s="60"/>
      <c r="J91" s="60"/>
      <c r="K91" s="60"/>
      <c r="L91" s="60"/>
      <c r="M91" s="60"/>
      <c r="N91" s="60"/>
      <c r="O91" s="60"/>
      <c r="P91" s="60"/>
      <c r="Q91" s="60"/>
      <c r="R91" s="60"/>
      <c r="S91" s="70"/>
      <c r="T91" s="70"/>
      <c r="U91" s="70"/>
      <c r="V91" s="70"/>
      <c r="W91" s="70"/>
      <c r="X91" s="70"/>
      <c r="Y91" s="70"/>
      <c r="Z91" s="70"/>
      <c r="AA91" s="70"/>
      <c r="AB91" s="70"/>
      <c r="AC91" s="70"/>
      <c r="AD91" s="136"/>
      <c r="AE91" s="24"/>
      <c r="AF91" s="24"/>
      <c r="AG91" s="73"/>
      <c r="AH91" s="125"/>
      <c r="AI91" s="103"/>
      <c r="AK91" s="113"/>
      <c r="AL91" s="113"/>
      <c r="AM91" s="113"/>
      <c r="AN91" s="113"/>
      <c r="AO91" s="137"/>
      <c r="AP91" s="137"/>
      <c r="AQ91" s="137"/>
      <c r="AR91" s="137"/>
      <c r="AS91" s="137"/>
      <c r="AT91" s="137"/>
      <c r="AU91" s="67"/>
      <c r="AV91" s="44"/>
      <c r="AW91" s="67"/>
      <c r="AX91" s="75"/>
      <c r="AY91" s="123"/>
      <c r="AZ91" s="67"/>
      <c r="BA91" s="138"/>
      <c r="BB91" s="67"/>
      <c r="BC91" s="67"/>
      <c r="BD91" s="67"/>
      <c r="BE91" s="67"/>
      <c r="BF91" s="67"/>
      <c r="BG91" s="67"/>
      <c r="BH91" s="67"/>
      <c r="BI91" s="67"/>
      <c r="BJ91" s="67"/>
      <c r="BK91" s="67"/>
      <c r="BL91" s="67"/>
      <c r="BM91" s="70"/>
      <c r="BN91" s="70"/>
      <c r="BO91" s="70"/>
      <c r="BP91" s="70"/>
      <c r="BQ91" s="70"/>
      <c r="BR91" s="70"/>
      <c r="BS91" s="70"/>
      <c r="BT91" s="70"/>
      <c r="BU91" s="70"/>
      <c r="BV91" s="70"/>
      <c r="BW91" s="70"/>
      <c r="BX91" s="136"/>
      <c r="BY91" s="70"/>
      <c r="BZ91" s="67"/>
      <c r="CA91" s="67"/>
      <c r="CB91" s="67"/>
    </row>
    <row r="92" spans="1:80" s="28" customFormat="1" ht="16" customHeight="1">
      <c r="A92" s="39"/>
      <c r="B92" s="57"/>
      <c r="C92" s="67"/>
      <c r="D92" s="67"/>
      <c r="E92" s="39"/>
      <c r="F92" s="39"/>
      <c r="G92" s="39"/>
      <c r="H92" s="67"/>
      <c r="I92" s="60"/>
      <c r="J92" s="60"/>
      <c r="K92" s="60"/>
      <c r="L92" s="60"/>
      <c r="M92" s="60"/>
      <c r="N92" s="60"/>
      <c r="O92" s="60"/>
      <c r="P92" s="60"/>
      <c r="Q92" s="60"/>
      <c r="R92" s="60"/>
      <c r="S92" s="70"/>
      <c r="T92" s="70"/>
      <c r="U92" s="70"/>
      <c r="V92" s="70"/>
      <c r="W92" s="70"/>
      <c r="X92" s="70"/>
      <c r="Y92" s="70"/>
      <c r="Z92" s="70"/>
      <c r="AA92" s="70"/>
      <c r="AB92" s="70"/>
      <c r="AC92" s="70"/>
      <c r="AD92" s="136"/>
      <c r="AE92" s="24"/>
      <c r="AF92" s="24"/>
      <c r="AG92" s="73"/>
      <c r="AH92" s="125"/>
      <c r="AI92" s="103"/>
      <c r="AK92" s="113"/>
      <c r="AL92" s="113"/>
      <c r="AM92" s="113"/>
      <c r="AN92" s="113"/>
      <c r="AO92" s="137"/>
      <c r="AP92" s="137"/>
      <c r="AQ92" s="137"/>
      <c r="AR92" s="137"/>
      <c r="AS92" s="137"/>
      <c r="AT92" s="137"/>
      <c r="AU92" s="67"/>
      <c r="AV92" s="44"/>
      <c r="AW92" s="67"/>
      <c r="AX92" s="75"/>
      <c r="AY92" s="123"/>
      <c r="AZ92" s="67"/>
      <c r="BA92" s="138"/>
      <c r="BB92" s="67"/>
      <c r="BC92" s="67"/>
      <c r="BD92" s="67"/>
      <c r="BE92" s="67"/>
      <c r="BF92" s="67"/>
      <c r="BG92" s="67"/>
      <c r="BH92" s="67"/>
      <c r="BI92" s="67"/>
      <c r="BJ92" s="67"/>
      <c r="BK92" s="67"/>
      <c r="BL92" s="67"/>
      <c r="BM92" s="70"/>
      <c r="BN92" s="70"/>
      <c r="BO92" s="70"/>
      <c r="BP92" s="70"/>
      <c r="BQ92" s="70"/>
      <c r="BR92" s="70"/>
      <c r="BS92" s="70"/>
      <c r="BT92" s="70"/>
      <c r="BU92" s="70"/>
      <c r="BV92" s="70"/>
      <c r="BW92" s="70"/>
      <c r="BX92" s="136"/>
      <c r="BY92" s="70"/>
      <c r="BZ92" s="67"/>
      <c r="CA92" s="67"/>
      <c r="CB92" s="67"/>
    </row>
    <row r="93" spans="1:80" s="28" customFormat="1" ht="16" customHeight="1">
      <c r="A93" s="39"/>
      <c r="B93" s="57"/>
      <c r="C93" s="67"/>
      <c r="D93" s="67"/>
      <c r="E93" s="39"/>
      <c r="F93" s="39"/>
      <c r="G93" s="39"/>
      <c r="H93" s="67"/>
      <c r="I93" s="60"/>
      <c r="J93" s="60"/>
      <c r="K93" s="60"/>
      <c r="L93" s="60"/>
      <c r="M93" s="60"/>
      <c r="N93" s="60"/>
      <c r="O93" s="60"/>
      <c r="P93" s="60"/>
      <c r="Q93" s="60"/>
      <c r="R93" s="60"/>
      <c r="S93" s="70"/>
      <c r="T93" s="70"/>
      <c r="U93" s="70"/>
      <c r="V93" s="70"/>
      <c r="W93" s="70"/>
      <c r="X93" s="70"/>
      <c r="Y93" s="70"/>
      <c r="Z93" s="70"/>
      <c r="AA93" s="70"/>
      <c r="AB93" s="70"/>
      <c r="AC93" s="70"/>
      <c r="AD93" s="136"/>
      <c r="AE93" s="24"/>
      <c r="AF93" s="24"/>
      <c r="AG93" s="73"/>
      <c r="AH93" s="125"/>
      <c r="AI93" s="103"/>
      <c r="AK93" s="113"/>
      <c r="AL93" s="113"/>
      <c r="AM93" s="113"/>
      <c r="AN93" s="113"/>
      <c r="AO93" s="137"/>
      <c r="AP93" s="137"/>
      <c r="AQ93" s="137"/>
      <c r="AR93" s="137"/>
      <c r="AS93" s="137"/>
      <c r="AT93" s="137"/>
      <c r="AU93" s="67"/>
      <c r="AV93" s="44"/>
      <c r="AW93" s="67"/>
      <c r="AX93" s="75"/>
      <c r="AY93" s="123"/>
      <c r="AZ93" s="67"/>
      <c r="BA93" s="138"/>
      <c r="BB93" s="67"/>
      <c r="BC93" s="67"/>
      <c r="BD93" s="67"/>
      <c r="BE93" s="67"/>
      <c r="BF93" s="67"/>
      <c r="BG93" s="67"/>
      <c r="BH93" s="67"/>
      <c r="BI93" s="67"/>
      <c r="BJ93" s="67"/>
      <c r="BK93" s="67"/>
      <c r="BL93" s="67"/>
      <c r="BM93" s="70"/>
      <c r="BN93" s="70"/>
      <c r="BO93" s="70"/>
      <c r="BP93" s="70"/>
      <c r="BQ93" s="70"/>
      <c r="BR93" s="70"/>
      <c r="BS93" s="70"/>
      <c r="BT93" s="70"/>
      <c r="BU93" s="70"/>
      <c r="BV93" s="70"/>
      <c r="BW93" s="70"/>
      <c r="BX93" s="136"/>
      <c r="BY93" s="70"/>
      <c r="BZ93" s="67"/>
      <c r="CA93" s="67"/>
      <c r="CB93" s="67"/>
    </row>
    <row r="94" spans="1:80" s="28" customFormat="1" ht="16" customHeight="1">
      <c r="A94" s="39"/>
      <c r="B94" s="57"/>
      <c r="C94" s="67"/>
      <c r="D94" s="67"/>
      <c r="E94" s="39"/>
      <c r="F94" s="39"/>
      <c r="G94" s="39"/>
      <c r="H94" s="67"/>
      <c r="I94" s="60"/>
      <c r="J94" s="60"/>
      <c r="K94" s="60"/>
      <c r="L94" s="60"/>
      <c r="M94" s="60"/>
      <c r="N94" s="60"/>
      <c r="O94" s="60"/>
      <c r="P94" s="60"/>
      <c r="Q94" s="60"/>
      <c r="R94" s="60"/>
      <c r="S94" s="70"/>
      <c r="T94" s="70"/>
      <c r="U94" s="70"/>
      <c r="V94" s="70"/>
      <c r="W94" s="70"/>
      <c r="X94" s="70"/>
      <c r="Y94" s="70"/>
      <c r="Z94" s="70"/>
      <c r="AA94" s="70"/>
      <c r="AB94" s="70"/>
      <c r="AC94" s="70"/>
      <c r="AD94" s="136"/>
      <c r="AE94" s="24"/>
      <c r="AF94" s="24"/>
      <c r="AG94" s="73"/>
      <c r="AH94" s="125"/>
      <c r="AI94" s="103"/>
      <c r="AK94" s="113"/>
      <c r="AL94" s="113"/>
      <c r="AM94" s="113"/>
      <c r="AN94" s="113"/>
      <c r="AO94" s="137"/>
      <c r="AP94" s="137"/>
      <c r="AQ94" s="137"/>
      <c r="AR94" s="137"/>
      <c r="AS94" s="137"/>
      <c r="AT94" s="137"/>
      <c r="AU94" s="67"/>
      <c r="AV94" s="44"/>
      <c r="AW94" s="67"/>
      <c r="AX94" s="75"/>
      <c r="AY94" s="123"/>
      <c r="AZ94" s="67"/>
      <c r="BA94" s="138"/>
      <c r="BB94" s="67"/>
      <c r="BC94" s="67"/>
      <c r="BD94" s="67"/>
      <c r="BE94" s="67"/>
      <c r="BF94" s="67"/>
      <c r="BG94" s="67"/>
      <c r="BH94" s="67"/>
      <c r="BI94" s="67"/>
      <c r="BJ94" s="67"/>
      <c r="BK94" s="67"/>
      <c r="BL94" s="67"/>
      <c r="BM94" s="70"/>
      <c r="BN94" s="70"/>
      <c r="BO94" s="70"/>
      <c r="BP94" s="70"/>
      <c r="BQ94" s="70"/>
      <c r="BR94" s="70"/>
      <c r="BS94" s="70"/>
      <c r="BT94" s="70"/>
      <c r="BU94" s="70"/>
      <c r="BV94" s="70"/>
      <c r="BW94" s="70"/>
      <c r="BX94" s="136"/>
      <c r="BY94" s="70"/>
      <c r="BZ94" s="67"/>
      <c r="CA94" s="67"/>
      <c r="CB94" s="67"/>
    </row>
    <row r="95" spans="1:80" s="28" customFormat="1" ht="16" customHeight="1">
      <c r="A95" s="39"/>
      <c r="B95" s="57"/>
      <c r="C95" s="67"/>
      <c r="D95" s="67"/>
      <c r="E95" s="39"/>
      <c r="F95" s="39"/>
      <c r="G95" s="39"/>
      <c r="H95" s="67"/>
      <c r="I95" s="60"/>
      <c r="J95" s="60"/>
      <c r="K95" s="60"/>
      <c r="L95" s="60"/>
      <c r="M95" s="60"/>
      <c r="N95" s="60"/>
      <c r="O95" s="60"/>
      <c r="P95" s="60"/>
      <c r="Q95" s="60"/>
      <c r="R95" s="60"/>
      <c r="S95" s="70"/>
      <c r="T95" s="70"/>
      <c r="U95" s="70"/>
      <c r="V95" s="70"/>
      <c r="W95" s="70"/>
      <c r="X95" s="70"/>
      <c r="Y95" s="70"/>
      <c r="Z95" s="70"/>
      <c r="AA95" s="70"/>
      <c r="AB95" s="70"/>
      <c r="AC95" s="70"/>
      <c r="AD95" s="136"/>
      <c r="AE95" s="24"/>
      <c r="AF95" s="24"/>
      <c r="AG95" s="73"/>
      <c r="AH95" s="125"/>
      <c r="AI95" s="103"/>
      <c r="AK95" s="113"/>
      <c r="AL95" s="113"/>
      <c r="AM95" s="113"/>
      <c r="AN95" s="113"/>
      <c r="AO95" s="137"/>
      <c r="AP95" s="137"/>
      <c r="AQ95" s="137"/>
      <c r="AR95" s="137"/>
      <c r="AS95" s="137"/>
      <c r="AT95" s="137"/>
      <c r="AU95" s="67"/>
      <c r="AV95" s="44"/>
      <c r="AW95" s="67"/>
      <c r="AX95" s="75"/>
      <c r="AY95" s="123"/>
      <c r="AZ95" s="67"/>
      <c r="BA95" s="138"/>
      <c r="BB95" s="67"/>
      <c r="BC95" s="67"/>
      <c r="BD95" s="67"/>
      <c r="BE95" s="67"/>
      <c r="BF95" s="67"/>
      <c r="BG95" s="67"/>
      <c r="BH95" s="67"/>
      <c r="BI95" s="67"/>
      <c r="BJ95" s="67"/>
      <c r="BK95" s="67"/>
      <c r="BL95" s="67"/>
      <c r="BM95" s="70"/>
      <c r="BN95" s="70"/>
      <c r="BO95" s="70"/>
      <c r="BP95" s="70"/>
      <c r="BQ95" s="70"/>
      <c r="BR95" s="70"/>
      <c r="BS95" s="70"/>
      <c r="BT95" s="70"/>
      <c r="BU95" s="70"/>
      <c r="BV95" s="70"/>
      <c r="BW95" s="70"/>
      <c r="BX95" s="136"/>
      <c r="BY95" s="70"/>
      <c r="BZ95" s="67"/>
      <c r="CA95" s="67"/>
      <c r="CB95" s="67"/>
    </row>
    <row r="96" spans="1:80" s="28" customFormat="1" ht="16" customHeight="1">
      <c r="A96" s="39"/>
      <c r="B96" s="57"/>
      <c r="C96" s="67"/>
      <c r="D96" s="67"/>
      <c r="E96" s="39"/>
      <c r="F96" s="39"/>
      <c r="G96" s="39"/>
      <c r="H96" s="67"/>
      <c r="I96" s="60"/>
      <c r="J96" s="60"/>
      <c r="K96" s="60"/>
      <c r="L96" s="60"/>
      <c r="M96" s="60"/>
      <c r="N96" s="60"/>
      <c r="O96" s="60"/>
      <c r="P96" s="60"/>
      <c r="Q96" s="60"/>
      <c r="R96" s="60"/>
      <c r="S96" s="70"/>
      <c r="T96" s="70"/>
      <c r="U96" s="70"/>
      <c r="V96" s="70"/>
      <c r="W96" s="70"/>
      <c r="X96" s="70"/>
      <c r="Y96" s="70"/>
      <c r="Z96" s="70"/>
      <c r="AA96" s="70"/>
      <c r="AB96" s="70"/>
      <c r="AC96" s="70"/>
      <c r="AD96" s="136"/>
      <c r="AE96" s="24"/>
      <c r="AF96" s="24"/>
      <c r="AG96" s="73"/>
      <c r="AH96" s="125"/>
      <c r="AI96" s="103"/>
      <c r="AK96" s="113"/>
      <c r="AL96" s="113"/>
      <c r="AM96" s="113"/>
      <c r="AN96" s="113"/>
      <c r="AO96" s="137"/>
      <c r="AP96" s="137"/>
      <c r="AQ96" s="137"/>
      <c r="AR96" s="137"/>
      <c r="AS96" s="137"/>
      <c r="AT96" s="137"/>
      <c r="AU96" s="67"/>
      <c r="AV96" s="44"/>
      <c r="AW96" s="67"/>
      <c r="AX96" s="75"/>
      <c r="AY96" s="123"/>
      <c r="AZ96" s="67"/>
      <c r="BA96" s="138"/>
      <c r="BB96" s="67"/>
      <c r="BC96" s="67"/>
      <c r="BD96" s="67"/>
      <c r="BE96" s="67"/>
      <c r="BF96" s="67"/>
      <c r="BG96" s="67"/>
      <c r="BH96" s="67"/>
      <c r="BI96" s="67"/>
      <c r="BJ96" s="67"/>
      <c r="BK96" s="67"/>
      <c r="BL96" s="67"/>
      <c r="BM96" s="70"/>
      <c r="BN96" s="70"/>
      <c r="BO96" s="70"/>
      <c r="BP96" s="70"/>
      <c r="BQ96" s="70"/>
      <c r="BR96" s="70"/>
      <c r="BS96" s="70"/>
      <c r="BT96" s="70"/>
      <c r="BU96" s="70"/>
      <c r="BV96" s="70"/>
      <c r="BW96" s="70"/>
      <c r="BX96" s="136"/>
      <c r="BY96" s="70"/>
      <c r="BZ96" s="67"/>
      <c r="CA96" s="67"/>
      <c r="CB96" s="67"/>
    </row>
    <row r="97" spans="1:80" s="28" customFormat="1" ht="16" customHeight="1">
      <c r="A97" s="39"/>
      <c r="B97" s="57"/>
      <c r="C97" s="67"/>
      <c r="D97" s="67"/>
      <c r="E97" s="39"/>
      <c r="F97" s="39"/>
      <c r="G97" s="39"/>
      <c r="H97" s="67"/>
      <c r="I97" s="60"/>
      <c r="J97" s="60"/>
      <c r="K97" s="60"/>
      <c r="L97" s="60"/>
      <c r="M97" s="60"/>
      <c r="N97" s="60"/>
      <c r="O97" s="60"/>
      <c r="P97" s="60"/>
      <c r="Q97" s="60"/>
      <c r="R97" s="60"/>
      <c r="S97" s="70"/>
      <c r="T97" s="70"/>
      <c r="U97" s="70"/>
      <c r="V97" s="70"/>
      <c r="W97" s="70"/>
      <c r="X97" s="70"/>
      <c r="Y97" s="70"/>
      <c r="Z97" s="70"/>
      <c r="AA97" s="70"/>
      <c r="AB97" s="70"/>
      <c r="AC97" s="70"/>
      <c r="AD97" s="136"/>
      <c r="AE97" s="24"/>
      <c r="AF97" s="24"/>
      <c r="AG97" s="73"/>
      <c r="AH97" s="125"/>
      <c r="AI97" s="103"/>
      <c r="AK97" s="113"/>
      <c r="AL97" s="113"/>
      <c r="AM97" s="113"/>
      <c r="AN97" s="113"/>
      <c r="AO97" s="137"/>
      <c r="AP97" s="137"/>
      <c r="AQ97" s="137"/>
      <c r="AR97" s="137"/>
      <c r="AS97" s="137"/>
      <c r="AT97" s="137"/>
      <c r="AU97" s="67"/>
      <c r="AV97" s="44"/>
      <c r="AW97" s="67"/>
      <c r="AX97" s="75"/>
      <c r="AY97" s="123"/>
      <c r="AZ97" s="67"/>
      <c r="BA97" s="138"/>
      <c r="BB97" s="67"/>
      <c r="BC97" s="67"/>
      <c r="BD97" s="67"/>
      <c r="BE97" s="67"/>
      <c r="BF97" s="67"/>
      <c r="BG97" s="67"/>
      <c r="BH97" s="67"/>
      <c r="BI97" s="67"/>
      <c r="BJ97" s="67"/>
      <c r="BK97" s="67"/>
      <c r="BL97" s="67"/>
      <c r="BM97" s="70"/>
      <c r="BN97" s="70"/>
      <c r="BO97" s="70"/>
      <c r="BP97" s="70"/>
      <c r="BQ97" s="70"/>
      <c r="BR97" s="70"/>
      <c r="BS97" s="70"/>
      <c r="BT97" s="70"/>
      <c r="BU97" s="70"/>
      <c r="BV97" s="70"/>
      <c r="BW97" s="70"/>
      <c r="BX97" s="136"/>
      <c r="BY97" s="70"/>
      <c r="BZ97" s="67"/>
      <c r="CA97" s="67"/>
      <c r="CB97" s="67"/>
    </row>
    <row r="98" spans="1:80" s="28" customFormat="1" ht="16" customHeight="1">
      <c r="A98" s="39"/>
      <c r="B98" s="57"/>
      <c r="C98" s="67"/>
      <c r="D98" s="67"/>
      <c r="E98" s="39"/>
      <c r="F98" s="39"/>
      <c r="G98" s="39"/>
      <c r="H98" s="67"/>
      <c r="I98" s="60"/>
      <c r="J98" s="60"/>
      <c r="K98" s="60"/>
      <c r="L98" s="60"/>
      <c r="M98" s="60"/>
      <c r="N98" s="60"/>
      <c r="O98" s="60"/>
      <c r="P98" s="60"/>
      <c r="Q98" s="60"/>
      <c r="R98" s="60"/>
      <c r="S98" s="70"/>
      <c r="T98" s="70"/>
      <c r="U98" s="70"/>
      <c r="V98" s="70"/>
      <c r="W98" s="70"/>
      <c r="X98" s="70"/>
      <c r="Y98" s="70"/>
      <c r="Z98" s="70"/>
      <c r="AA98" s="70"/>
      <c r="AB98" s="70"/>
      <c r="AC98" s="70"/>
      <c r="AD98" s="136"/>
      <c r="AE98" s="24"/>
      <c r="AF98" s="24"/>
      <c r="AG98" s="73"/>
      <c r="AH98" s="125"/>
      <c r="AI98" s="103"/>
      <c r="AK98" s="113"/>
      <c r="AL98" s="113"/>
      <c r="AM98" s="113"/>
      <c r="AN98" s="113"/>
      <c r="AO98" s="137"/>
      <c r="AP98" s="137"/>
      <c r="AQ98" s="137"/>
      <c r="AR98" s="137"/>
      <c r="AS98" s="137"/>
      <c r="AT98" s="137"/>
      <c r="AU98" s="67"/>
      <c r="AV98" s="44"/>
      <c r="AW98" s="67"/>
      <c r="AX98" s="75"/>
      <c r="AY98" s="123"/>
      <c r="AZ98" s="67"/>
      <c r="BA98" s="138"/>
      <c r="BB98" s="67"/>
      <c r="BC98" s="67"/>
      <c r="BD98" s="67"/>
      <c r="BE98" s="67"/>
      <c r="BF98" s="67"/>
      <c r="BG98" s="67"/>
      <c r="BH98" s="67"/>
      <c r="BI98" s="67"/>
      <c r="BJ98" s="67"/>
      <c r="BK98" s="67"/>
      <c r="BL98" s="67"/>
      <c r="BM98" s="70"/>
      <c r="BN98" s="70"/>
      <c r="BO98" s="70"/>
      <c r="BP98" s="70"/>
      <c r="BQ98" s="70"/>
      <c r="BR98" s="70"/>
      <c r="BS98" s="70"/>
      <c r="BT98" s="70"/>
      <c r="BU98" s="70"/>
      <c r="BV98" s="70"/>
      <c r="BW98" s="70"/>
      <c r="BX98" s="136"/>
      <c r="BY98" s="70"/>
      <c r="BZ98" s="67"/>
      <c r="CA98" s="67"/>
      <c r="CB98" s="67"/>
    </row>
    <row r="99" spans="1:80" s="28" customFormat="1" ht="16" customHeight="1">
      <c r="A99" s="39"/>
      <c r="B99" s="57"/>
      <c r="C99" s="67"/>
      <c r="D99" s="67"/>
      <c r="E99" s="39"/>
      <c r="F99" s="39"/>
      <c r="G99" s="39"/>
      <c r="H99" s="67"/>
      <c r="I99" s="60"/>
      <c r="J99" s="60"/>
      <c r="K99" s="60"/>
      <c r="L99" s="60"/>
      <c r="M99" s="60"/>
      <c r="N99" s="60"/>
      <c r="O99" s="60"/>
      <c r="P99" s="60"/>
      <c r="Q99" s="60"/>
      <c r="R99" s="60"/>
      <c r="S99" s="70"/>
      <c r="T99" s="70"/>
      <c r="U99" s="70"/>
      <c r="V99" s="70"/>
      <c r="W99" s="70"/>
      <c r="X99" s="70"/>
      <c r="Y99" s="70"/>
      <c r="Z99" s="70"/>
      <c r="AA99" s="70"/>
      <c r="AB99" s="70"/>
      <c r="AC99" s="70"/>
      <c r="AD99" s="136"/>
      <c r="AE99" s="24"/>
      <c r="AF99" s="24"/>
      <c r="AG99" s="73"/>
      <c r="AH99" s="125"/>
      <c r="AI99" s="103"/>
      <c r="AK99" s="113"/>
      <c r="AL99" s="113"/>
      <c r="AM99" s="113"/>
      <c r="AN99" s="113"/>
      <c r="AO99" s="137"/>
      <c r="AP99" s="137"/>
      <c r="AQ99" s="137"/>
      <c r="AR99" s="137"/>
      <c r="AS99" s="137"/>
      <c r="AT99" s="137"/>
      <c r="AU99" s="67"/>
      <c r="AV99" s="44"/>
      <c r="AW99" s="67"/>
      <c r="AX99" s="75"/>
      <c r="AY99" s="123"/>
      <c r="AZ99" s="67"/>
      <c r="BA99" s="138"/>
      <c r="BB99" s="67"/>
      <c r="BC99" s="67"/>
      <c r="BD99" s="67"/>
      <c r="BE99" s="67"/>
      <c r="BF99" s="67"/>
      <c r="BG99" s="67"/>
      <c r="BH99" s="67"/>
      <c r="BI99" s="67"/>
      <c r="BJ99" s="67"/>
      <c r="BK99" s="67"/>
      <c r="BL99" s="67"/>
      <c r="BM99" s="70"/>
      <c r="BN99" s="70"/>
      <c r="BO99" s="70"/>
      <c r="BP99" s="70"/>
      <c r="BQ99" s="70"/>
      <c r="BR99" s="70"/>
      <c r="BS99" s="70"/>
      <c r="BT99" s="70"/>
      <c r="BU99" s="70"/>
      <c r="BV99" s="70"/>
      <c r="BW99" s="70"/>
      <c r="BX99" s="136"/>
      <c r="BY99" s="70"/>
      <c r="BZ99" s="67"/>
      <c r="CA99" s="67"/>
      <c r="CB99" s="67"/>
    </row>
    <row r="100" spans="1:80" s="28" customFormat="1" ht="16" customHeight="1">
      <c r="A100" s="39"/>
      <c r="B100" s="57"/>
      <c r="C100" s="67"/>
      <c r="D100" s="67"/>
      <c r="E100" s="39"/>
      <c r="F100" s="39"/>
      <c r="G100" s="39"/>
      <c r="H100" s="67"/>
      <c r="I100" s="60"/>
      <c r="J100" s="60"/>
      <c r="K100" s="60"/>
      <c r="L100" s="60"/>
      <c r="M100" s="60"/>
      <c r="N100" s="60"/>
      <c r="O100" s="60"/>
      <c r="P100" s="60"/>
      <c r="Q100" s="60"/>
      <c r="R100" s="60"/>
      <c r="S100" s="70"/>
      <c r="T100" s="70"/>
      <c r="U100" s="70"/>
      <c r="V100" s="70"/>
      <c r="W100" s="70"/>
      <c r="X100" s="70"/>
      <c r="Y100" s="70"/>
      <c r="Z100" s="70"/>
      <c r="AA100" s="70"/>
      <c r="AB100" s="70"/>
      <c r="AC100" s="70"/>
      <c r="AD100" s="136"/>
      <c r="AE100" s="24"/>
      <c r="AF100" s="24"/>
      <c r="AG100" s="73"/>
      <c r="AH100" s="125"/>
      <c r="AI100" s="103"/>
      <c r="AK100" s="113"/>
      <c r="AL100" s="113"/>
      <c r="AM100" s="113"/>
      <c r="AN100" s="113"/>
      <c r="AO100" s="137"/>
      <c r="AP100" s="137"/>
      <c r="AQ100" s="137"/>
      <c r="AR100" s="137"/>
      <c r="AS100" s="137"/>
      <c r="AT100" s="137"/>
      <c r="AU100" s="67"/>
      <c r="AV100" s="44"/>
      <c r="AW100" s="67"/>
      <c r="AX100" s="75"/>
      <c r="AY100" s="123"/>
      <c r="AZ100" s="67"/>
      <c r="BA100" s="138"/>
      <c r="BB100" s="67"/>
      <c r="BC100" s="67"/>
      <c r="BD100" s="67"/>
      <c r="BE100" s="67"/>
      <c r="BF100" s="67"/>
      <c r="BG100" s="67"/>
      <c r="BH100" s="67"/>
      <c r="BI100" s="67"/>
      <c r="BJ100" s="67"/>
      <c r="BK100" s="67"/>
      <c r="BL100" s="67"/>
      <c r="BM100" s="70"/>
      <c r="BN100" s="70"/>
      <c r="BO100" s="70"/>
      <c r="BP100" s="70"/>
      <c r="BQ100" s="70"/>
      <c r="BR100" s="70"/>
      <c r="BS100" s="70"/>
      <c r="BT100" s="70"/>
      <c r="BU100" s="70"/>
      <c r="BV100" s="70"/>
      <c r="BW100" s="70"/>
      <c r="BX100" s="136"/>
      <c r="BY100" s="70"/>
      <c r="BZ100" s="67"/>
      <c r="CA100" s="67"/>
      <c r="CB100" s="67"/>
    </row>
    <row r="101" spans="1:80" s="28" customFormat="1" ht="16" customHeight="1">
      <c r="A101" s="39"/>
      <c r="B101" s="57"/>
      <c r="C101" s="67"/>
      <c r="D101" s="67"/>
      <c r="E101" s="39"/>
      <c r="F101" s="39"/>
      <c r="G101" s="39"/>
      <c r="H101" s="67"/>
      <c r="I101" s="60"/>
      <c r="J101" s="60"/>
      <c r="K101" s="60"/>
      <c r="L101" s="60"/>
      <c r="M101" s="60"/>
      <c r="N101" s="60"/>
      <c r="O101" s="60"/>
      <c r="P101" s="60"/>
      <c r="Q101" s="60"/>
      <c r="R101" s="60"/>
      <c r="S101" s="70"/>
      <c r="T101" s="70"/>
      <c r="U101" s="70"/>
      <c r="V101" s="70"/>
      <c r="W101" s="70"/>
      <c r="X101" s="70"/>
      <c r="Y101" s="70"/>
      <c r="Z101" s="70"/>
      <c r="AA101" s="70"/>
      <c r="AB101" s="70"/>
      <c r="AC101" s="70"/>
      <c r="AD101" s="136"/>
      <c r="AE101" s="24"/>
      <c r="AF101" s="24"/>
      <c r="AG101" s="73"/>
      <c r="AH101" s="125"/>
      <c r="AI101" s="103"/>
      <c r="AK101" s="113"/>
      <c r="AL101" s="113"/>
      <c r="AM101" s="113"/>
      <c r="AN101" s="113"/>
      <c r="AO101" s="137"/>
      <c r="AP101" s="137"/>
      <c r="AQ101" s="137"/>
      <c r="AR101" s="137"/>
      <c r="AS101" s="137"/>
      <c r="AT101" s="137"/>
      <c r="AU101" s="67"/>
      <c r="AV101" s="44"/>
      <c r="AW101" s="67"/>
      <c r="AX101" s="75"/>
      <c r="AY101" s="123"/>
      <c r="AZ101" s="67"/>
      <c r="BA101" s="138"/>
      <c r="BB101" s="67"/>
      <c r="BC101" s="67"/>
      <c r="BD101" s="67"/>
      <c r="BE101" s="67"/>
      <c r="BF101" s="67"/>
      <c r="BG101" s="67"/>
      <c r="BH101" s="67"/>
      <c r="BI101" s="67"/>
      <c r="BJ101" s="67"/>
      <c r="BK101" s="67"/>
      <c r="BL101" s="67"/>
      <c r="BM101" s="70"/>
      <c r="BN101" s="70"/>
      <c r="BO101" s="70"/>
      <c r="BP101" s="70"/>
      <c r="BQ101" s="70"/>
      <c r="BR101" s="70"/>
      <c r="BS101" s="70"/>
      <c r="BT101" s="70"/>
      <c r="BU101" s="70"/>
      <c r="BV101" s="70"/>
      <c r="BW101" s="70"/>
      <c r="BX101" s="136"/>
      <c r="BY101" s="70"/>
      <c r="BZ101" s="67"/>
      <c r="CA101" s="67"/>
      <c r="CB101" s="67"/>
    </row>
    <row r="102" spans="1:80" s="28" customFormat="1" ht="16" customHeight="1">
      <c r="A102" s="39"/>
      <c r="B102" s="57"/>
      <c r="C102" s="67"/>
      <c r="D102" s="67"/>
      <c r="E102" s="39"/>
      <c r="F102" s="39"/>
      <c r="G102" s="39"/>
      <c r="H102" s="67"/>
      <c r="I102" s="60"/>
      <c r="J102" s="60"/>
      <c r="K102" s="60"/>
      <c r="L102" s="60"/>
      <c r="M102" s="60"/>
      <c r="N102" s="60"/>
      <c r="O102" s="60"/>
      <c r="P102" s="60"/>
      <c r="Q102" s="60"/>
      <c r="R102" s="60"/>
      <c r="S102" s="70"/>
      <c r="T102" s="70"/>
      <c r="U102" s="70"/>
      <c r="V102" s="70"/>
      <c r="W102" s="70"/>
      <c r="X102" s="70"/>
      <c r="Y102" s="70"/>
      <c r="Z102" s="70"/>
      <c r="AA102" s="70"/>
      <c r="AB102" s="70"/>
      <c r="AC102" s="70"/>
      <c r="AD102" s="136"/>
      <c r="AE102" s="24"/>
      <c r="AF102" s="24"/>
      <c r="AG102" s="73"/>
      <c r="AH102" s="125"/>
      <c r="AI102" s="103"/>
      <c r="AK102" s="113"/>
      <c r="AL102" s="113"/>
      <c r="AM102" s="113"/>
      <c r="AN102" s="113"/>
      <c r="AO102" s="137"/>
      <c r="AP102" s="137"/>
      <c r="AQ102" s="137"/>
      <c r="AR102" s="137"/>
      <c r="AS102" s="137"/>
      <c r="AT102" s="137"/>
      <c r="AU102" s="67"/>
      <c r="AV102" s="44"/>
      <c r="AW102" s="67"/>
      <c r="AX102" s="75"/>
      <c r="AY102" s="123"/>
      <c r="AZ102" s="67"/>
      <c r="BA102" s="138"/>
      <c r="BB102" s="67"/>
      <c r="BC102" s="67"/>
      <c r="BD102" s="67"/>
      <c r="BE102" s="67"/>
      <c r="BF102" s="67"/>
      <c r="BG102" s="67"/>
      <c r="BH102" s="67"/>
      <c r="BI102" s="67"/>
      <c r="BJ102" s="67"/>
      <c r="BK102" s="67"/>
      <c r="BL102" s="67"/>
      <c r="BM102" s="70"/>
      <c r="BN102" s="70"/>
      <c r="BO102" s="70"/>
      <c r="BP102" s="70"/>
      <c r="BQ102" s="70"/>
      <c r="BR102" s="70"/>
      <c r="BS102" s="70"/>
      <c r="BT102" s="70"/>
      <c r="BU102" s="70"/>
      <c r="BV102" s="70"/>
      <c r="BW102" s="70"/>
      <c r="BX102" s="136"/>
      <c r="BY102" s="70"/>
      <c r="BZ102" s="67"/>
      <c r="CA102" s="67"/>
      <c r="CB102" s="67"/>
    </row>
    <row r="103" spans="1:80" s="28" customFormat="1" ht="16" customHeight="1">
      <c r="A103" s="39"/>
      <c r="B103" s="57"/>
      <c r="C103" s="67"/>
      <c r="D103" s="67"/>
      <c r="E103" s="39"/>
      <c r="F103" s="39"/>
      <c r="G103" s="39"/>
      <c r="H103" s="67"/>
      <c r="I103" s="60"/>
      <c r="J103" s="60"/>
      <c r="K103" s="60"/>
      <c r="L103" s="60"/>
      <c r="M103" s="60"/>
      <c r="N103" s="60"/>
      <c r="O103" s="60"/>
      <c r="P103" s="60"/>
      <c r="Q103" s="60"/>
      <c r="R103" s="60"/>
      <c r="S103" s="70"/>
      <c r="T103" s="70"/>
      <c r="U103" s="70"/>
      <c r="V103" s="70"/>
      <c r="W103" s="70"/>
      <c r="X103" s="70"/>
      <c r="Y103" s="70"/>
      <c r="Z103" s="70"/>
      <c r="AA103" s="70"/>
      <c r="AB103" s="70"/>
      <c r="AC103" s="70"/>
      <c r="AD103" s="136"/>
      <c r="AE103" s="24"/>
      <c r="AF103" s="24"/>
      <c r="AG103" s="73"/>
      <c r="AH103" s="125"/>
      <c r="AI103" s="103"/>
      <c r="AK103" s="113"/>
      <c r="AL103" s="113"/>
      <c r="AM103" s="113"/>
      <c r="AN103" s="113"/>
      <c r="AO103" s="137"/>
      <c r="AP103" s="137"/>
      <c r="AQ103" s="137"/>
      <c r="AR103" s="137"/>
      <c r="AS103" s="137"/>
      <c r="AT103" s="137"/>
      <c r="AU103" s="67"/>
      <c r="AV103" s="44"/>
      <c r="AW103" s="67"/>
      <c r="AX103" s="75"/>
      <c r="AY103" s="123"/>
      <c r="AZ103" s="67"/>
      <c r="BA103" s="138"/>
      <c r="BB103" s="67"/>
      <c r="BC103" s="67"/>
      <c r="BD103" s="67"/>
      <c r="BE103" s="67"/>
      <c r="BF103" s="67"/>
      <c r="BG103" s="67"/>
      <c r="BH103" s="67"/>
      <c r="BI103" s="67"/>
      <c r="BJ103" s="67"/>
      <c r="BK103" s="67"/>
      <c r="BL103" s="67"/>
      <c r="BM103" s="70"/>
      <c r="BN103" s="70"/>
      <c r="BO103" s="70"/>
      <c r="BP103" s="70"/>
      <c r="BQ103" s="70"/>
      <c r="BR103" s="70"/>
      <c r="BS103" s="70"/>
      <c r="BT103" s="70"/>
      <c r="BU103" s="70"/>
      <c r="BV103" s="70"/>
      <c r="BW103" s="70"/>
      <c r="BX103" s="136"/>
      <c r="BY103" s="70"/>
      <c r="BZ103" s="67"/>
      <c r="CA103" s="67"/>
      <c r="CB103" s="67"/>
    </row>
    <row r="104" spans="1:80" s="28" customFormat="1" ht="16" customHeight="1">
      <c r="A104" s="39"/>
      <c r="B104" s="57"/>
      <c r="C104" s="67"/>
      <c r="D104" s="67"/>
      <c r="E104" s="39"/>
      <c r="F104" s="39"/>
      <c r="G104" s="39"/>
      <c r="H104" s="67"/>
      <c r="I104" s="60"/>
      <c r="J104" s="60"/>
      <c r="K104" s="60"/>
      <c r="L104" s="60"/>
      <c r="M104" s="60"/>
      <c r="N104" s="60"/>
      <c r="O104" s="60"/>
      <c r="P104" s="60"/>
      <c r="Q104" s="60"/>
      <c r="R104" s="60"/>
      <c r="S104" s="70"/>
      <c r="T104" s="70"/>
      <c r="U104" s="70"/>
      <c r="V104" s="70"/>
      <c r="W104" s="70"/>
      <c r="X104" s="70"/>
      <c r="Y104" s="70"/>
      <c r="Z104" s="70"/>
      <c r="AA104" s="70"/>
      <c r="AB104" s="70"/>
      <c r="AC104" s="70"/>
      <c r="AD104" s="136"/>
      <c r="AE104" s="24"/>
      <c r="AF104" s="24"/>
      <c r="AG104" s="73"/>
      <c r="AH104" s="125"/>
      <c r="AI104" s="103"/>
      <c r="AK104" s="113"/>
      <c r="AL104" s="113"/>
      <c r="AM104" s="113"/>
      <c r="AN104" s="113"/>
      <c r="AO104" s="137"/>
      <c r="AP104" s="137"/>
      <c r="AQ104" s="137"/>
      <c r="AR104" s="137"/>
      <c r="AS104" s="137"/>
      <c r="AT104" s="137"/>
      <c r="AU104" s="67"/>
      <c r="AV104" s="44"/>
      <c r="AW104" s="67"/>
      <c r="AX104" s="75"/>
      <c r="AY104" s="123"/>
      <c r="AZ104" s="67"/>
      <c r="BA104" s="138"/>
      <c r="BB104" s="67"/>
      <c r="BC104" s="67"/>
      <c r="BD104" s="67"/>
      <c r="BE104" s="67"/>
      <c r="BF104" s="67"/>
      <c r="BG104" s="67"/>
      <c r="BH104" s="67"/>
      <c r="BI104" s="67"/>
      <c r="BJ104" s="67"/>
      <c r="BK104" s="67"/>
      <c r="BL104" s="67"/>
      <c r="BM104" s="70"/>
      <c r="BN104" s="70"/>
      <c r="BO104" s="70"/>
      <c r="BP104" s="70"/>
      <c r="BQ104" s="70"/>
      <c r="BR104" s="70"/>
      <c r="BS104" s="70"/>
      <c r="BT104" s="70"/>
      <c r="BU104" s="70"/>
      <c r="BV104" s="70"/>
      <c r="BW104" s="70"/>
      <c r="BX104" s="136"/>
      <c r="BY104" s="70"/>
      <c r="BZ104" s="67"/>
      <c r="CA104" s="67"/>
      <c r="CB104" s="67"/>
    </row>
    <row r="105" spans="1:80" s="28" customFormat="1" ht="16" customHeight="1">
      <c r="A105" s="39"/>
      <c r="B105" s="57"/>
      <c r="C105" s="67"/>
      <c r="D105" s="67"/>
      <c r="E105" s="39"/>
      <c r="F105" s="39"/>
      <c r="G105" s="39"/>
      <c r="H105" s="67"/>
      <c r="I105" s="60"/>
      <c r="J105" s="60"/>
      <c r="K105" s="60"/>
      <c r="L105" s="60"/>
      <c r="M105" s="60"/>
      <c r="N105" s="60"/>
      <c r="O105" s="60"/>
      <c r="P105" s="60"/>
      <c r="Q105" s="60"/>
      <c r="R105" s="60"/>
      <c r="S105" s="70"/>
      <c r="T105" s="70"/>
      <c r="U105" s="70"/>
      <c r="V105" s="70"/>
      <c r="W105" s="70"/>
      <c r="X105" s="70"/>
      <c r="Y105" s="70"/>
      <c r="Z105" s="70"/>
      <c r="AA105" s="70"/>
      <c r="AB105" s="70"/>
      <c r="AC105" s="70"/>
      <c r="AD105" s="136"/>
      <c r="AE105" s="24"/>
      <c r="AF105" s="24"/>
      <c r="AG105" s="73"/>
      <c r="AH105" s="125"/>
      <c r="AI105" s="103"/>
      <c r="AK105" s="113"/>
      <c r="AL105" s="113"/>
      <c r="AM105" s="113"/>
      <c r="AN105" s="113"/>
      <c r="AO105" s="137"/>
      <c r="AP105" s="137"/>
      <c r="AQ105" s="137"/>
      <c r="AR105" s="137"/>
      <c r="AS105" s="137"/>
      <c r="AT105" s="137"/>
      <c r="AU105" s="67"/>
      <c r="AV105" s="44"/>
      <c r="AW105" s="67"/>
      <c r="AX105" s="75"/>
      <c r="AY105" s="123"/>
      <c r="AZ105" s="67"/>
      <c r="BA105" s="138"/>
      <c r="BB105" s="67"/>
      <c r="BC105" s="67"/>
      <c r="BD105" s="67"/>
      <c r="BE105" s="67"/>
      <c r="BF105" s="67"/>
      <c r="BG105" s="67"/>
      <c r="BH105" s="67"/>
      <c r="BI105" s="67"/>
      <c r="BJ105" s="67"/>
      <c r="BK105" s="67"/>
      <c r="BL105" s="67"/>
      <c r="BM105" s="70"/>
      <c r="BN105" s="70"/>
      <c r="BO105" s="70"/>
      <c r="BP105" s="70"/>
      <c r="BQ105" s="70"/>
      <c r="BR105" s="70"/>
      <c r="BS105" s="70"/>
      <c r="BT105" s="70"/>
      <c r="BU105" s="70"/>
      <c r="BV105" s="70"/>
      <c r="BW105" s="70"/>
      <c r="BX105" s="136"/>
      <c r="BY105" s="70"/>
      <c r="BZ105" s="67"/>
      <c r="CA105" s="67"/>
      <c r="CB105" s="67"/>
    </row>
    <row r="106" spans="1:80" s="28" customFormat="1" ht="16" customHeight="1">
      <c r="A106" s="39"/>
      <c r="B106" s="57"/>
      <c r="C106" s="67"/>
      <c r="D106" s="67"/>
      <c r="E106" s="39"/>
      <c r="F106" s="39"/>
      <c r="G106" s="39"/>
      <c r="H106" s="67"/>
      <c r="I106" s="60"/>
      <c r="J106" s="60"/>
      <c r="K106" s="60"/>
      <c r="L106" s="60"/>
      <c r="M106" s="60"/>
      <c r="N106" s="60"/>
      <c r="O106" s="60"/>
      <c r="P106" s="60"/>
      <c r="Q106" s="60"/>
      <c r="R106" s="60"/>
      <c r="S106" s="70"/>
      <c r="T106" s="70"/>
      <c r="U106" s="70"/>
      <c r="V106" s="70"/>
      <c r="W106" s="70"/>
      <c r="X106" s="70"/>
      <c r="Y106" s="70"/>
      <c r="Z106" s="70"/>
      <c r="AA106" s="70"/>
      <c r="AB106" s="70"/>
      <c r="AC106" s="70"/>
      <c r="AD106" s="136"/>
      <c r="AE106" s="24"/>
      <c r="AF106" s="24"/>
      <c r="AG106" s="73"/>
      <c r="AH106" s="125"/>
      <c r="AI106" s="103"/>
      <c r="AK106" s="113"/>
      <c r="AL106" s="113"/>
      <c r="AM106" s="113"/>
      <c r="AN106" s="113"/>
      <c r="AO106" s="137"/>
      <c r="AP106" s="137"/>
      <c r="AQ106" s="137"/>
      <c r="AR106" s="137"/>
      <c r="AS106" s="137"/>
      <c r="AT106" s="137"/>
      <c r="AU106" s="67"/>
      <c r="AV106" s="44"/>
      <c r="AW106" s="67"/>
      <c r="AX106" s="75"/>
      <c r="AY106" s="123"/>
      <c r="AZ106" s="67"/>
      <c r="BA106" s="138"/>
      <c r="BB106" s="67"/>
      <c r="BC106" s="67"/>
      <c r="BD106" s="67"/>
      <c r="BE106" s="67"/>
      <c r="BF106" s="67"/>
      <c r="BG106" s="67"/>
      <c r="BH106" s="67"/>
      <c r="BI106" s="67"/>
      <c r="BJ106" s="67"/>
      <c r="BK106" s="67"/>
      <c r="BL106" s="67"/>
      <c r="BM106" s="70"/>
      <c r="BN106" s="70"/>
      <c r="BO106" s="70"/>
      <c r="BP106" s="70"/>
      <c r="BQ106" s="70"/>
      <c r="BR106" s="70"/>
      <c r="BS106" s="70"/>
      <c r="BT106" s="70"/>
      <c r="BU106" s="70"/>
      <c r="BV106" s="70"/>
      <c r="BW106" s="70"/>
      <c r="BX106" s="136"/>
      <c r="BY106" s="70"/>
      <c r="BZ106" s="67"/>
      <c r="CA106" s="67"/>
      <c r="CB106" s="67"/>
    </row>
    <row r="107" spans="1:80" s="28" customFormat="1" ht="16" customHeight="1">
      <c r="A107" s="39"/>
      <c r="B107" s="57"/>
      <c r="C107" s="67"/>
      <c r="D107" s="67"/>
      <c r="E107" s="39"/>
      <c r="F107" s="39"/>
      <c r="G107" s="39"/>
      <c r="H107" s="67"/>
      <c r="I107" s="60"/>
      <c r="J107" s="60"/>
      <c r="K107" s="60"/>
      <c r="L107" s="60"/>
      <c r="M107" s="60"/>
      <c r="N107" s="60"/>
      <c r="O107" s="60"/>
      <c r="P107" s="60"/>
      <c r="Q107" s="60"/>
      <c r="R107" s="60"/>
      <c r="S107" s="70"/>
      <c r="T107" s="70"/>
      <c r="U107" s="70"/>
      <c r="V107" s="70"/>
      <c r="W107" s="70"/>
      <c r="X107" s="70"/>
      <c r="Y107" s="70"/>
      <c r="Z107" s="70"/>
      <c r="AA107" s="70"/>
      <c r="AB107" s="70"/>
      <c r="AC107" s="70"/>
      <c r="AD107" s="136"/>
      <c r="AE107" s="24"/>
      <c r="AF107" s="24"/>
      <c r="AG107" s="73"/>
      <c r="AH107" s="125"/>
      <c r="AI107" s="103"/>
      <c r="AK107" s="113"/>
      <c r="AL107" s="113"/>
      <c r="AM107" s="113"/>
      <c r="AN107" s="113"/>
      <c r="AO107" s="137"/>
      <c r="AP107" s="137"/>
      <c r="AQ107" s="137"/>
      <c r="AR107" s="137"/>
      <c r="AS107" s="137"/>
      <c r="AT107" s="137"/>
      <c r="AU107" s="67"/>
      <c r="AV107" s="44"/>
      <c r="AW107" s="67"/>
      <c r="AX107" s="75"/>
      <c r="AY107" s="123"/>
      <c r="AZ107" s="67"/>
      <c r="BA107" s="138"/>
      <c r="BB107" s="67"/>
      <c r="BC107" s="67"/>
      <c r="BD107" s="67"/>
      <c r="BE107" s="67"/>
      <c r="BF107" s="67"/>
      <c r="BG107" s="67"/>
      <c r="BH107" s="67"/>
      <c r="BI107" s="67"/>
      <c r="BJ107" s="67"/>
      <c r="BK107" s="67"/>
      <c r="BL107" s="67"/>
      <c r="BM107" s="70"/>
      <c r="BN107" s="70"/>
      <c r="BO107" s="70"/>
      <c r="BP107" s="70"/>
      <c r="BQ107" s="70"/>
      <c r="BR107" s="70"/>
      <c r="BS107" s="70"/>
      <c r="BT107" s="70"/>
      <c r="BU107" s="70"/>
      <c r="BV107" s="70"/>
      <c r="BW107" s="70"/>
      <c r="BX107" s="136"/>
      <c r="BY107" s="70"/>
      <c r="BZ107" s="67"/>
      <c r="CA107" s="67"/>
      <c r="CB107" s="67"/>
    </row>
    <row r="108" spans="1:80" s="28" customFormat="1" ht="16" customHeight="1">
      <c r="A108" s="39"/>
      <c r="B108" s="57"/>
      <c r="C108" s="67"/>
      <c r="D108" s="67"/>
      <c r="E108" s="39"/>
      <c r="F108" s="39"/>
      <c r="G108" s="39"/>
      <c r="H108" s="67"/>
      <c r="I108" s="60"/>
      <c r="J108" s="60"/>
      <c r="K108" s="60"/>
      <c r="L108" s="60"/>
      <c r="M108" s="60"/>
      <c r="N108" s="60"/>
      <c r="O108" s="60"/>
      <c r="P108" s="60"/>
      <c r="Q108" s="60"/>
      <c r="R108" s="60"/>
      <c r="S108" s="70"/>
      <c r="T108" s="70"/>
      <c r="U108" s="70"/>
      <c r="V108" s="70"/>
      <c r="W108" s="70"/>
      <c r="X108" s="70"/>
      <c r="Y108" s="70"/>
      <c r="Z108" s="70"/>
      <c r="AA108" s="70"/>
      <c r="AB108" s="70"/>
      <c r="AC108" s="70"/>
      <c r="AD108" s="136"/>
      <c r="AE108" s="24"/>
      <c r="AF108" s="24"/>
      <c r="AG108" s="73"/>
      <c r="AH108" s="125"/>
      <c r="AI108" s="103"/>
      <c r="AK108" s="113"/>
      <c r="AL108" s="113"/>
      <c r="AM108" s="113"/>
      <c r="AN108" s="113"/>
      <c r="AO108" s="137"/>
      <c r="AP108" s="137"/>
      <c r="AQ108" s="137"/>
      <c r="AR108" s="137"/>
      <c r="AS108" s="137"/>
      <c r="AT108" s="137"/>
      <c r="AU108" s="67"/>
      <c r="AV108" s="44"/>
      <c r="AW108" s="67"/>
      <c r="AX108" s="75"/>
      <c r="AY108" s="123"/>
      <c r="AZ108" s="67"/>
      <c r="BA108" s="138"/>
      <c r="BB108" s="67"/>
      <c r="BC108" s="67"/>
      <c r="BD108" s="67"/>
      <c r="BE108" s="67"/>
      <c r="BF108" s="67"/>
      <c r="BG108" s="67"/>
      <c r="BH108" s="67"/>
      <c r="BI108" s="67"/>
      <c r="BJ108" s="67"/>
      <c r="BK108" s="67"/>
      <c r="BL108" s="67"/>
      <c r="BM108" s="70"/>
      <c r="BN108" s="70"/>
      <c r="BO108" s="70"/>
      <c r="BP108" s="70"/>
      <c r="BQ108" s="70"/>
      <c r="BR108" s="70"/>
      <c r="BS108" s="70"/>
      <c r="BT108" s="70"/>
      <c r="BU108" s="70"/>
      <c r="BV108" s="70"/>
      <c r="BW108" s="70"/>
      <c r="BX108" s="136"/>
      <c r="BY108" s="70"/>
      <c r="BZ108" s="67"/>
      <c r="CA108" s="67"/>
      <c r="CB108" s="67"/>
    </row>
    <row r="109" spans="1:80" s="28" customFormat="1" ht="16" customHeight="1">
      <c r="A109" s="39"/>
      <c r="B109" s="57"/>
      <c r="C109" s="67"/>
      <c r="D109" s="67"/>
      <c r="E109" s="39"/>
      <c r="F109" s="39"/>
      <c r="G109" s="39"/>
      <c r="H109" s="67"/>
      <c r="I109" s="60"/>
      <c r="J109" s="60"/>
      <c r="K109" s="60"/>
      <c r="L109" s="60"/>
      <c r="M109" s="60"/>
      <c r="N109" s="60"/>
      <c r="O109" s="60"/>
      <c r="P109" s="60"/>
      <c r="Q109" s="60"/>
      <c r="R109" s="60"/>
      <c r="S109" s="70"/>
      <c r="T109" s="70"/>
      <c r="U109" s="70"/>
      <c r="V109" s="70"/>
      <c r="W109" s="70"/>
      <c r="X109" s="70"/>
      <c r="Y109" s="70"/>
      <c r="Z109" s="70"/>
      <c r="AA109" s="70"/>
      <c r="AB109" s="70"/>
      <c r="AC109" s="70"/>
      <c r="AD109" s="136"/>
      <c r="AE109" s="24"/>
      <c r="AF109" s="24"/>
      <c r="AG109" s="73"/>
      <c r="AH109" s="125"/>
      <c r="AI109" s="103"/>
      <c r="AK109" s="113"/>
      <c r="AL109" s="113"/>
      <c r="AM109" s="113"/>
      <c r="AN109" s="113"/>
      <c r="AO109" s="137"/>
      <c r="AP109" s="137"/>
      <c r="AQ109" s="137"/>
      <c r="AR109" s="137"/>
      <c r="AS109" s="137"/>
      <c r="AT109" s="137"/>
      <c r="AU109" s="67"/>
      <c r="AV109" s="44"/>
      <c r="AW109" s="67"/>
      <c r="AX109" s="75"/>
      <c r="AY109" s="123"/>
      <c r="AZ109" s="67"/>
      <c r="BA109" s="138"/>
      <c r="BB109" s="67"/>
      <c r="BC109" s="67"/>
      <c r="BD109" s="67"/>
      <c r="BE109" s="67"/>
      <c r="BF109" s="67"/>
      <c r="BG109" s="67"/>
      <c r="BH109" s="67"/>
      <c r="BI109" s="67"/>
      <c r="BJ109" s="67"/>
      <c r="BK109" s="67"/>
      <c r="BL109" s="67"/>
      <c r="BM109" s="70"/>
      <c r="BN109" s="70"/>
      <c r="BO109" s="70"/>
      <c r="BP109" s="70"/>
      <c r="BQ109" s="70"/>
      <c r="BR109" s="70"/>
      <c r="BS109" s="70"/>
      <c r="BT109" s="70"/>
      <c r="BU109" s="70"/>
      <c r="BV109" s="70"/>
      <c r="BW109" s="70"/>
      <c r="BX109" s="136"/>
      <c r="BY109" s="70"/>
      <c r="BZ109" s="67"/>
      <c r="CA109" s="67"/>
      <c r="CB109" s="67"/>
    </row>
    <row r="110" spans="1:80" s="28" customFormat="1" ht="16" customHeight="1">
      <c r="A110" s="39"/>
      <c r="B110" s="57"/>
      <c r="C110" s="67"/>
      <c r="D110" s="67"/>
      <c r="E110" s="39"/>
      <c r="F110" s="39"/>
      <c r="G110" s="39"/>
      <c r="H110" s="67"/>
      <c r="I110" s="60"/>
      <c r="J110" s="60"/>
      <c r="K110" s="60"/>
      <c r="L110" s="60"/>
      <c r="M110" s="60"/>
      <c r="N110" s="60"/>
      <c r="O110" s="60"/>
      <c r="P110" s="60"/>
      <c r="Q110" s="60"/>
      <c r="R110" s="60"/>
      <c r="S110" s="70"/>
      <c r="T110" s="70"/>
      <c r="U110" s="70"/>
      <c r="V110" s="70"/>
      <c r="W110" s="70"/>
      <c r="X110" s="70"/>
      <c r="Y110" s="70"/>
      <c r="Z110" s="70"/>
      <c r="AA110" s="70"/>
      <c r="AB110" s="70"/>
      <c r="AC110" s="70"/>
      <c r="AD110" s="136"/>
      <c r="AE110" s="24"/>
      <c r="AF110" s="24"/>
      <c r="AG110" s="73"/>
      <c r="AH110" s="125"/>
      <c r="AI110" s="103"/>
      <c r="AK110" s="113"/>
      <c r="AL110" s="113"/>
      <c r="AM110" s="113"/>
      <c r="AN110" s="113"/>
      <c r="AO110" s="137"/>
      <c r="AP110" s="137"/>
      <c r="AQ110" s="137"/>
      <c r="AR110" s="137"/>
      <c r="AS110" s="137"/>
      <c r="AT110" s="137"/>
      <c r="AU110" s="67"/>
      <c r="AV110" s="44"/>
      <c r="AW110" s="67"/>
      <c r="AX110" s="75"/>
      <c r="AY110" s="123"/>
      <c r="AZ110" s="67"/>
      <c r="BA110" s="138"/>
      <c r="BB110" s="67"/>
      <c r="BC110" s="67"/>
      <c r="BD110" s="67"/>
      <c r="BE110" s="67"/>
      <c r="BF110" s="67"/>
      <c r="BG110" s="67"/>
      <c r="BH110" s="67"/>
      <c r="BI110" s="67"/>
      <c r="BJ110" s="67"/>
      <c r="BK110" s="67"/>
      <c r="BL110" s="67"/>
      <c r="BM110" s="70"/>
      <c r="BN110" s="70"/>
      <c r="BO110" s="70"/>
      <c r="BP110" s="70"/>
      <c r="BQ110" s="70"/>
      <c r="BR110" s="70"/>
      <c r="BS110" s="70"/>
      <c r="BT110" s="70"/>
      <c r="BU110" s="70"/>
      <c r="BV110" s="70"/>
      <c r="BW110" s="70"/>
      <c r="BX110" s="136"/>
      <c r="BY110" s="70"/>
      <c r="BZ110" s="67"/>
      <c r="CA110" s="67"/>
      <c r="CB110" s="67"/>
    </row>
    <row r="111" spans="1:80" s="28" customFormat="1" ht="16" customHeight="1">
      <c r="A111" s="39"/>
      <c r="B111" s="57"/>
      <c r="C111" s="67"/>
      <c r="D111" s="67"/>
      <c r="E111" s="39"/>
      <c r="F111" s="39"/>
      <c r="G111" s="39"/>
      <c r="H111" s="67"/>
      <c r="I111" s="60"/>
      <c r="J111" s="60"/>
      <c r="K111" s="60"/>
      <c r="L111" s="60"/>
      <c r="M111" s="60"/>
      <c r="N111" s="60"/>
      <c r="O111" s="60"/>
      <c r="P111" s="60"/>
      <c r="Q111" s="60"/>
      <c r="R111" s="60"/>
      <c r="S111" s="70"/>
      <c r="T111" s="70"/>
      <c r="U111" s="70"/>
      <c r="V111" s="70"/>
      <c r="W111" s="70"/>
      <c r="X111" s="70"/>
      <c r="Y111" s="70"/>
      <c r="Z111" s="70"/>
      <c r="AA111" s="70"/>
      <c r="AB111" s="70"/>
      <c r="AC111" s="70"/>
      <c r="AD111" s="136"/>
      <c r="AE111" s="24"/>
      <c r="AF111" s="24"/>
      <c r="AG111" s="73"/>
      <c r="AH111" s="125"/>
      <c r="AI111" s="103"/>
      <c r="AK111" s="113"/>
      <c r="AL111" s="113"/>
      <c r="AM111" s="113"/>
      <c r="AN111" s="113"/>
      <c r="AO111" s="137"/>
      <c r="AP111" s="137"/>
      <c r="AQ111" s="137"/>
      <c r="AR111" s="137"/>
      <c r="AS111" s="137"/>
      <c r="AT111" s="137"/>
      <c r="AU111" s="67"/>
      <c r="AV111" s="44"/>
      <c r="AW111" s="67"/>
      <c r="AX111" s="75"/>
      <c r="AY111" s="123"/>
      <c r="AZ111" s="67"/>
      <c r="BA111" s="138"/>
      <c r="BB111" s="67"/>
      <c r="BC111" s="67"/>
      <c r="BD111" s="67"/>
      <c r="BE111" s="67"/>
      <c r="BF111" s="67"/>
      <c r="BG111" s="67"/>
      <c r="BH111" s="67"/>
      <c r="BI111" s="67"/>
      <c r="BJ111" s="67"/>
      <c r="BK111" s="67"/>
      <c r="BL111" s="67"/>
      <c r="BM111" s="70"/>
      <c r="BN111" s="70"/>
      <c r="BO111" s="70"/>
      <c r="BP111" s="70"/>
      <c r="BQ111" s="70"/>
      <c r="BR111" s="70"/>
      <c r="BS111" s="70"/>
      <c r="BT111" s="70"/>
      <c r="BU111" s="70"/>
      <c r="BV111" s="70"/>
      <c r="BW111" s="70"/>
      <c r="BX111" s="136"/>
      <c r="BY111" s="70"/>
      <c r="BZ111" s="67"/>
      <c r="CA111" s="67"/>
      <c r="CB111" s="67"/>
    </row>
    <row r="112" spans="1:80" s="28" customFormat="1" ht="16" customHeight="1">
      <c r="A112" s="39"/>
      <c r="B112" s="57"/>
      <c r="C112" s="67"/>
      <c r="D112" s="67"/>
      <c r="E112" s="39"/>
      <c r="F112" s="39"/>
      <c r="G112" s="39"/>
      <c r="H112" s="67"/>
      <c r="I112" s="60"/>
      <c r="J112" s="60"/>
      <c r="K112" s="60"/>
      <c r="L112" s="60"/>
      <c r="M112" s="60"/>
      <c r="N112" s="60"/>
      <c r="O112" s="60"/>
      <c r="P112" s="60"/>
      <c r="Q112" s="60"/>
      <c r="R112" s="60"/>
      <c r="S112" s="70"/>
      <c r="T112" s="70"/>
      <c r="U112" s="70"/>
      <c r="V112" s="70"/>
      <c r="W112" s="70"/>
      <c r="X112" s="70"/>
      <c r="Y112" s="70"/>
      <c r="Z112" s="70"/>
      <c r="AA112" s="70"/>
      <c r="AB112" s="70"/>
      <c r="AC112" s="70"/>
      <c r="AD112" s="136"/>
      <c r="AE112" s="24"/>
      <c r="AF112" s="24"/>
      <c r="AG112" s="73"/>
      <c r="AH112" s="125"/>
      <c r="AI112" s="103"/>
      <c r="AK112" s="113"/>
      <c r="AL112" s="113"/>
      <c r="AM112" s="113"/>
      <c r="AN112" s="113"/>
      <c r="AO112" s="137"/>
      <c r="AP112" s="137"/>
      <c r="AQ112" s="137"/>
      <c r="AR112" s="137"/>
      <c r="AS112" s="137"/>
      <c r="AT112" s="137"/>
      <c r="AU112" s="67"/>
      <c r="AV112" s="44"/>
      <c r="AW112" s="67"/>
      <c r="AX112" s="75"/>
      <c r="AY112" s="123"/>
      <c r="AZ112" s="67"/>
      <c r="BA112" s="138"/>
      <c r="BB112" s="67"/>
      <c r="BC112" s="67"/>
      <c r="BD112" s="67"/>
      <c r="BE112" s="67"/>
      <c r="BF112" s="67"/>
      <c r="BG112" s="67"/>
      <c r="BH112" s="67"/>
      <c r="BI112" s="67"/>
      <c r="BJ112" s="67"/>
      <c r="BK112" s="67"/>
      <c r="BL112" s="67"/>
      <c r="BM112" s="70"/>
      <c r="BN112" s="70"/>
      <c r="BO112" s="70"/>
      <c r="BP112" s="70"/>
      <c r="BQ112" s="70"/>
      <c r="BR112" s="70"/>
      <c r="BS112" s="70"/>
      <c r="BT112" s="70"/>
      <c r="BU112" s="70"/>
      <c r="BV112" s="70"/>
      <c r="BW112" s="70"/>
      <c r="BX112" s="136"/>
      <c r="BY112" s="70"/>
      <c r="BZ112" s="67"/>
      <c r="CA112" s="67"/>
      <c r="CB112" s="67"/>
    </row>
    <row r="113" spans="1:80" s="28" customFormat="1" ht="16" customHeight="1">
      <c r="A113" s="39"/>
      <c r="B113" s="57"/>
      <c r="C113" s="67"/>
      <c r="D113" s="67"/>
      <c r="E113" s="39"/>
      <c r="F113" s="39"/>
      <c r="G113" s="39"/>
      <c r="H113" s="67"/>
      <c r="I113" s="60"/>
      <c r="J113" s="60"/>
      <c r="K113" s="60"/>
      <c r="L113" s="60"/>
      <c r="M113" s="60"/>
      <c r="N113" s="60"/>
      <c r="O113" s="60"/>
      <c r="P113" s="60"/>
      <c r="Q113" s="60"/>
      <c r="R113" s="60"/>
      <c r="S113" s="70"/>
      <c r="T113" s="70"/>
      <c r="U113" s="70"/>
      <c r="V113" s="70"/>
      <c r="W113" s="70"/>
      <c r="X113" s="70"/>
      <c r="Y113" s="70"/>
      <c r="Z113" s="70"/>
      <c r="AA113" s="70"/>
      <c r="AB113" s="70"/>
      <c r="AC113" s="70"/>
      <c r="AD113" s="136"/>
      <c r="AE113" s="24"/>
      <c r="AF113" s="24"/>
      <c r="AG113" s="73"/>
      <c r="AH113" s="125"/>
      <c r="AI113" s="103"/>
      <c r="AK113" s="113"/>
      <c r="AL113" s="113"/>
      <c r="AM113" s="113"/>
      <c r="AN113" s="113"/>
      <c r="AO113" s="137"/>
      <c r="AP113" s="137"/>
      <c r="AQ113" s="137"/>
      <c r="AR113" s="137"/>
      <c r="AS113" s="137"/>
      <c r="AT113" s="137"/>
      <c r="AU113" s="67"/>
      <c r="AV113" s="44"/>
      <c r="AW113" s="67"/>
      <c r="AX113" s="75"/>
      <c r="AY113" s="123"/>
      <c r="AZ113" s="67"/>
      <c r="BA113" s="138"/>
      <c r="BB113" s="67"/>
      <c r="BC113" s="67"/>
      <c r="BD113" s="67"/>
      <c r="BE113" s="67"/>
      <c r="BF113" s="67"/>
      <c r="BG113" s="67"/>
      <c r="BH113" s="67"/>
      <c r="BI113" s="67"/>
      <c r="BJ113" s="67"/>
      <c r="BK113" s="67"/>
      <c r="BL113" s="67"/>
      <c r="BM113" s="70"/>
      <c r="BN113" s="70"/>
      <c r="BO113" s="70"/>
      <c r="BP113" s="70"/>
      <c r="BQ113" s="70"/>
      <c r="BR113" s="70"/>
      <c r="BS113" s="70"/>
      <c r="BT113" s="70"/>
      <c r="BU113" s="70"/>
      <c r="BV113" s="70"/>
      <c r="BW113" s="70"/>
      <c r="BX113" s="136"/>
      <c r="BY113" s="70"/>
      <c r="BZ113" s="67"/>
      <c r="CA113" s="67"/>
      <c r="CB113" s="67"/>
    </row>
    <row r="114" spans="1:80" s="28" customFormat="1" ht="16" customHeight="1">
      <c r="A114" s="39"/>
      <c r="B114" s="57"/>
      <c r="C114" s="67"/>
      <c r="D114" s="67"/>
      <c r="E114" s="39"/>
      <c r="F114" s="39"/>
      <c r="G114" s="39"/>
      <c r="H114" s="67"/>
      <c r="I114" s="60"/>
      <c r="J114" s="60"/>
      <c r="K114" s="60"/>
      <c r="L114" s="60"/>
      <c r="M114" s="60"/>
      <c r="N114" s="60"/>
      <c r="O114" s="60"/>
      <c r="P114" s="60"/>
      <c r="Q114" s="60"/>
      <c r="R114" s="60"/>
      <c r="S114" s="70"/>
      <c r="T114" s="70"/>
      <c r="U114" s="70"/>
      <c r="V114" s="70"/>
      <c r="W114" s="70"/>
      <c r="X114" s="70"/>
      <c r="Y114" s="70"/>
      <c r="Z114" s="70"/>
      <c r="AA114" s="70"/>
      <c r="AB114" s="70"/>
      <c r="AC114" s="70"/>
      <c r="AD114" s="136"/>
      <c r="AE114" s="24"/>
      <c r="AF114" s="24"/>
      <c r="AG114" s="73"/>
      <c r="AH114" s="125"/>
      <c r="AI114" s="103"/>
      <c r="AK114" s="113"/>
      <c r="AL114" s="113"/>
      <c r="AM114" s="113"/>
      <c r="AN114" s="113"/>
      <c r="AO114" s="137"/>
      <c r="AP114" s="137"/>
      <c r="AQ114" s="137"/>
      <c r="AR114" s="137"/>
      <c r="AS114" s="137"/>
      <c r="AT114" s="137"/>
      <c r="AU114" s="67"/>
      <c r="AV114" s="44"/>
      <c r="AW114" s="67"/>
      <c r="AX114" s="75"/>
      <c r="AY114" s="123"/>
      <c r="AZ114" s="67"/>
      <c r="BA114" s="138"/>
      <c r="BB114" s="67"/>
      <c r="BC114" s="67"/>
      <c r="BD114" s="67"/>
      <c r="BE114" s="67"/>
      <c r="BF114" s="67"/>
      <c r="BG114" s="67"/>
      <c r="BH114" s="67"/>
      <c r="BI114" s="67"/>
      <c r="BJ114" s="67"/>
      <c r="BK114" s="67"/>
      <c r="BL114" s="67"/>
      <c r="BM114" s="70"/>
      <c r="BN114" s="70"/>
      <c r="BO114" s="70"/>
      <c r="BP114" s="70"/>
      <c r="BQ114" s="70"/>
      <c r="BR114" s="70"/>
      <c r="BS114" s="70"/>
      <c r="BT114" s="70"/>
      <c r="BU114" s="70"/>
      <c r="BV114" s="70"/>
      <c r="BW114" s="70"/>
      <c r="BX114" s="136"/>
      <c r="BY114" s="70"/>
      <c r="BZ114" s="67"/>
      <c r="CA114" s="67"/>
      <c r="CB114" s="67"/>
    </row>
    <row r="115" spans="1:80" s="28" customFormat="1" ht="16" customHeight="1">
      <c r="A115" s="39"/>
      <c r="B115" s="57"/>
      <c r="C115" s="67"/>
      <c r="D115" s="67"/>
      <c r="E115" s="39"/>
      <c r="F115" s="39"/>
      <c r="G115" s="39"/>
      <c r="H115" s="67"/>
      <c r="I115" s="60"/>
      <c r="J115" s="60"/>
      <c r="K115" s="60"/>
      <c r="L115" s="60"/>
      <c r="M115" s="60"/>
      <c r="N115" s="60"/>
      <c r="O115" s="60"/>
      <c r="P115" s="60"/>
      <c r="Q115" s="60"/>
      <c r="R115" s="60"/>
      <c r="S115" s="70"/>
      <c r="T115" s="70"/>
      <c r="U115" s="70"/>
      <c r="V115" s="70"/>
      <c r="W115" s="70"/>
      <c r="X115" s="70"/>
      <c r="Y115" s="70"/>
      <c r="Z115" s="70"/>
      <c r="AA115" s="70"/>
      <c r="AB115" s="70"/>
      <c r="AC115" s="70"/>
      <c r="AD115" s="136"/>
      <c r="AE115" s="24"/>
      <c r="AF115" s="24"/>
      <c r="AG115" s="73"/>
      <c r="AH115" s="125"/>
      <c r="AI115" s="103"/>
      <c r="AK115" s="113"/>
      <c r="AL115" s="113"/>
      <c r="AM115" s="113"/>
      <c r="AN115" s="113"/>
      <c r="AO115" s="137"/>
      <c r="AP115" s="137"/>
      <c r="AQ115" s="137"/>
      <c r="AR115" s="137"/>
      <c r="AS115" s="137"/>
      <c r="AT115" s="137"/>
      <c r="AU115" s="67"/>
      <c r="AV115" s="44"/>
      <c r="AW115" s="67"/>
      <c r="AX115" s="75"/>
      <c r="AY115" s="123"/>
      <c r="AZ115" s="67"/>
      <c r="BA115" s="138"/>
      <c r="BB115" s="67"/>
      <c r="BC115" s="67"/>
      <c r="BD115" s="67"/>
      <c r="BE115" s="67"/>
      <c r="BF115" s="67"/>
      <c r="BG115" s="67"/>
      <c r="BH115" s="67"/>
      <c r="BI115" s="67"/>
      <c r="BJ115" s="67"/>
      <c r="BK115" s="67"/>
      <c r="BL115" s="67"/>
      <c r="BM115" s="70"/>
      <c r="BN115" s="70"/>
      <c r="BO115" s="70"/>
      <c r="BP115" s="70"/>
      <c r="BQ115" s="70"/>
      <c r="BR115" s="70"/>
      <c r="BS115" s="70"/>
      <c r="BT115" s="70"/>
      <c r="BU115" s="70"/>
      <c r="BV115" s="70"/>
      <c r="BW115" s="70"/>
      <c r="BX115" s="136"/>
      <c r="BY115" s="70"/>
      <c r="BZ115" s="67"/>
      <c r="CA115" s="67"/>
      <c r="CB115" s="67"/>
    </row>
    <row r="116" spans="1:80" s="28" customFormat="1" ht="16" customHeight="1">
      <c r="A116" s="39"/>
      <c r="B116" s="57"/>
      <c r="C116" s="67"/>
      <c r="D116" s="67"/>
      <c r="E116" s="39"/>
      <c r="F116" s="39"/>
      <c r="G116" s="39"/>
      <c r="H116" s="67"/>
      <c r="I116" s="60"/>
      <c r="J116" s="60"/>
      <c r="K116" s="60"/>
      <c r="L116" s="60"/>
      <c r="M116" s="60"/>
      <c r="N116" s="60"/>
      <c r="O116" s="60"/>
      <c r="P116" s="60"/>
      <c r="Q116" s="60"/>
      <c r="R116" s="60"/>
      <c r="S116" s="70"/>
      <c r="T116" s="70"/>
      <c r="U116" s="70"/>
      <c r="V116" s="70"/>
      <c r="W116" s="70"/>
      <c r="X116" s="70"/>
      <c r="Y116" s="70"/>
      <c r="Z116" s="70"/>
      <c r="AA116" s="70"/>
      <c r="AB116" s="70"/>
      <c r="AC116" s="70"/>
      <c r="AD116" s="136"/>
      <c r="AE116" s="24"/>
      <c r="AF116" s="24"/>
      <c r="AG116" s="73"/>
      <c r="AH116" s="125"/>
      <c r="AI116" s="103"/>
      <c r="AK116" s="113"/>
      <c r="AL116" s="113"/>
      <c r="AM116" s="113"/>
      <c r="AN116" s="113"/>
      <c r="AO116" s="137"/>
      <c r="AP116" s="137"/>
      <c r="AQ116" s="137"/>
      <c r="AR116" s="137"/>
      <c r="AS116" s="137"/>
      <c r="AT116" s="137"/>
      <c r="AU116" s="67"/>
      <c r="AV116" s="44"/>
      <c r="AW116" s="67"/>
      <c r="AX116" s="75"/>
      <c r="AY116" s="123"/>
      <c r="AZ116" s="67"/>
      <c r="BA116" s="138"/>
      <c r="BB116" s="67"/>
      <c r="BC116" s="67"/>
      <c r="BD116" s="67"/>
      <c r="BE116" s="67"/>
      <c r="BF116" s="67"/>
      <c r="BG116" s="67"/>
      <c r="BH116" s="67"/>
      <c r="BI116" s="67"/>
      <c r="BJ116" s="67"/>
      <c r="BK116" s="67"/>
      <c r="BL116" s="67"/>
      <c r="BM116" s="70"/>
      <c r="BN116" s="70"/>
      <c r="BO116" s="70"/>
      <c r="BP116" s="70"/>
      <c r="BQ116" s="70"/>
      <c r="BR116" s="70"/>
      <c r="BS116" s="70"/>
      <c r="BT116" s="70"/>
      <c r="BU116" s="70"/>
      <c r="BV116" s="70"/>
      <c r="BW116" s="70"/>
      <c r="BX116" s="136"/>
      <c r="BY116" s="70"/>
      <c r="BZ116" s="67"/>
      <c r="CA116" s="67"/>
      <c r="CB116" s="67"/>
    </row>
    <row r="117" spans="1:80" s="28" customFormat="1" ht="16" customHeight="1">
      <c r="A117" s="39"/>
      <c r="B117" s="57"/>
      <c r="C117" s="67"/>
      <c r="D117" s="67"/>
      <c r="E117" s="39"/>
      <c r="F117" s="39"/>
      <c r="G117" s="39"/>
      <c r="H117" s="67"/>
      <c r="I117" s="60"/>
      <c r="J117" s="60"/>
      <c r="K117" s="60"/>
      <c r="L117" s="60"/>
      <c r="M117" s="60"/>
      <c r="N117" s="60"/>
      <c r="O117" s="60"/>
      <c r="P117" s="60"/>
      <c r="Q117" s="60"/>
      <c r="R117" s="60"/>
      <c r="S117" s="70"/>
      <c r="T117" s="70"/>
      <c r="U117" s="70"/>
      <c r="V117" s="70"/>
      <c r="W117" s="70"/>
      <c r="X117" s="70"/>
      <c r="Y117" s="70"/>
      <c r="Z117" s="70"/>
      <c r="AA117" s="70"/>
      <c r="AB117" s="70"/>
      <c r="AC117" s="70"/>
      <c r="AD117" s="136"/>
      <c r="AE117" s="24"/>
      <c r="AF117" s="24"/>
      <c r="AG117" s="73"/>
      <c r="AH117" s="125"/>
      <c r="AI117" s="103"/>
      <c r="AK117" s="113"/>
      <c r="AL117" s="113"/>
      <c r="AM117" s="113"/>
      <c r="AN117" s="113"/>
      <c r="AO117" s="137"/>
      <c r="AP117" s="137"/>
      <c r="AQ117" s="137"/>
      <c r="AR117" s="137"/>
      <c r="AS117" s="137"/>
      <c r="AT117" s="137"/>
      <c r="AU117" s="67"/>
      <c r="AV117" s="44"/>
      <c r="AW117" s="67"/>
      <c r="AX117" s="75"/>
      <c r="AY117" s="123"/>
      <c r="AZ117" s="67"/>
      <c r="BA117" s="138"/>
      <c r="BB117" s="67"/>
      <c r="BC117" s="67"/>
      <c r="BD117" s="67"/>
      <c r="BE117" s="67"/>
      <c r="BF117" s="67"/>
      <c r="BG117" s="67"/>
      <c r="BH117" s="67"/>
      <c r="BI117" s="67"/>
      <c r="BJ117" s="67"/>
      <c r="BK117" s="67"/>
      <c r="BL117" s="67"/>
      <c r="BM117" s="70"/>
      <c r="BN117" s="70"/>
      <c r="BO117" s="70"/>
      <c r="BP117" s="70"/>
      <c r="BQ117" s="70"/>
      <c r="BR117" s="70"/>
      <c r="BS117" s="70"/>
      <c r="BT117" s="70"/>
      <c r="BU117" s="70"/>
      <c r="BV117" s="70"/>
      <c r="BW117" s="70"/>
      <c r="BX117" s="136"/>
      <c r="BY117" s="70"/>
      <c r="BZ117" s="67"/>
      <c r="CA117" s="67"/>
      <c r="CB117" s="67"/>
    </row>
    <row r="118" spans="1:80" s="28" customFormat="1" ht="16" customHeight="1">
      <c r="A118" s="39"/>
      <c r="B118" s="57"/>
      <c r="C118" s="67"/>
      <c r="D118" s="67"/>
      <c r="E118" s="39"/>
      <c r="F118" s="39"/>
      <c r="G118" s="39"/>
      <c r="H118" s="67"/>
      <c r="I118" s="60"/>
      <c r="J118" s="60"/>
      <c r="K118" s="60"/>
      <c r="L118" s="60"/>
      <c r="M118" s="60"/>
      <c r="N118" s="60"/>
      <c r="O118" s="60"/>
      <c r="P118" s="60"/>
      <c r="Q118" s="60"/>
      <c r="R118" s="60"/>
      <c r="S118" s="70"/>
      <c r="T118" s="70"/>
      <c r="U118" s="70"/>
      <c r="V118" s="70"/>
      <c r="W118" s="70"/>
      <c r="X118" s="70"/>
      <c r="Y118" s="70"/>
      <c r="Z118" s="70"/>
      <c r="AA118" s="70"/>
      <c r="AB118" s="70"/>
      <c r="AC118" s="70"/>
      <c r="AD118" s="136"/>
      <c r="AE118" s="24"/>
      <c r="AF118" s="24"/>
      <c r="AG118" s="73"/>
      <c r="AH118" s="125"/>
      <c r="AI118" s="103"/>
      <c r="AK118" s="113"/>
      <c r="AL118" s="113"/>
      <c r="AM118" s="113"/>
      <c r="AN118" s="113"/>
      <c r="AO118" s="137"/>
      <c r="AP118" s="137"/>
      <c r="AQ118" s="137"/>
      <c r="AR118" s="137"/>
      <c r="AS118" s="137"/>
      <c r="AT118" s="137"/>
      <c r="AU118" s="67"/>
      <c r="AV118" s="44"/>
      <c r="AW118" s="67"/>
      <c r="AX118" s="75"/>
      <c r="AY118" s="123"/>
      <c r="AZ118" s="67"/>
      <c r="BA118" s="138"/>
      <c r="BB118" s="67"/>
      <c r="BC118" s="67"/>
      <c r="BD118" s="67"/>
      <c r="BE118" s="67"/>
      <c r="BF118" s="67"/>
      <c r="BG118" s="67"/>
      <c r="BH118" s="67"/>
      <c r="BI118" s="67"/>
      <c r="BJ118" s="67"/>
      <c r="BK118" s="67"/>
      <c r="BL118" s="67"/>
      <c r="BM118" s="70"/>
      <c r="BN118" s="70"/>
      <c r="BO118" s="70"/>
      <c r="BP118" s="70"/>
      <c r="BQ118" s="70"/>
      <c r="BR118" s="70"/>
      <c r="BS118" s="70"/>
      <c r="BT118" s="70"/>
      <c r="BU118" s="70"/>
      <c r="BV118" s="70"/>
      <c r="BW118" s="70"/>
      <c r="BX118" s="136"/>
      <c r="BY118" s="70"/>
      <c r="BZ118" s="67"/>
      <c r="CA118" s="67"/>
      <c r="CB118" s="67"/>
    </row>
    <row r="119" spans="1:80" s="28" customFormat="1" ht="16" customHeight="1">
      <c r="A119" s="39"/>
      <c r="B119" s="57"/>
      <c r="C119" s="67"/>
      <c r="D119" s="67"/>
      <c r="E119" s="39"/>
      <c r="F119" s="39"/>
      <c r="G119" s="39"/>
      <c r="H119" s="67"/>
      <c r="I119" s="60"/>
      <c r="J119" s="60"/>
      <c r="K119" s="60"/>
      <c r="L119" s="60"/>
      <c r="M119" s="60"/>
      <c r="N119" s="60"/>
      <c r="O119" s="60"/>
      <c r="P119" s="60"/>
      <c r="Q119" s="60"/>
      <c r="R119" s="60"/>
      <c r="S119" s="70"/>
      <c r="T119" s="70"/>
      <c r="U119" s="70"/>
      <c r="V119" s="70"/>
      <c r="W119" s="70"/>
      <c r="X119" s="70"/>
      <c r="Y119" s="70"/>
      <c r="Z119" s="70"/>
      <c r="AA119" s="70"/>
      <c r="AB119" s="70"/>
      <c r="AC119" s="70"/>
      <c r="AD119" s="136"/>
      <c r="AE119" s="24"/>
      <c r="AF119" s="24"/>
      <c r="AG119" s="73"/>
      <c r="AH119" s="125"/>
      <c r="AI119" s="103"/>
      <c r="AK119" s="113"/>
      <c r="AL119" s="113"/>
      <c r="AM119" s="113"/>
      <c r="AN119" s="113"/>
      <c r="AO119" s="137"/>
      <c r="AP119" s="137"/>
      <c r="AQ119" s="137"/>
      <c r="AR119" s="137"/>
      <c r="AS119" s="137"/>
      <c r="AT119" s="137"/>
      <c r="AU119" s="67"/>
      <c r="AV119" s="44"/>
      <c r="AW119" s="67"/>
      <c r="AX119" s="75"/>
      <c r="AY119" s="123"/>
      <c r="AZ119" s="67"/>
      <c r="BA119" s="138"/>
      <c r="BB119" s="67"/>
      <c r="BC119" s="67"/>
      <c r="BD119" s="67"/>
      <c r="BE119" s="67"/>
      <c r="BF119" s="67"/>
      <c r="BG119" s="67"/>
      <c r="BH119" s="67"/>
      <c r="BI119" s="67"/>
      <c r="BJ119" s="67"/>
      <c r="BK119" s="67"/>
      <c r="BL119" s="67"/>
      <c r="BM119" s="70"/>
      <c r="BN119" s="70"/>
      <c r="BO119" s="70"/>
      <c r="BP119" s="70"/>
      <c r="BQ119" s="70"/>
      <c r="BR119" s="70"/>
      <c r="BS119" s="70"/>
      <c r="BT119" s="70"/>
      <c r="BU119" s="70"/>
      <c r="BV119" s="70"/>
      <c r="BW119" s="70"/>
      <c r="BX119" s="136"/>
      <c r="BY119" s="70"/>
      <c r="BZ119" s="67"/>
      <c r="CA119" s="67"/>
      <c r="CB119" s="67"/>
    </row>
    <row r="120" spans="1:80" s="28" customFormat="1" ht="16" customHeight="1">
      <c r="A120" s="39"/>
      <c r="B120" s="57"/>
      <c r="C120" s="67"/>
      <c r="D120" s="67"/>
      <c r="E120" s="39"/>
      <c r="F120" s="39"/>
      <c r="G120" s="39"/>
      <c r="H120" s="67"/>
      <c r="I120" s="60"/>
      <c r="J120" s="60"/>
      <c r="K120" s="60"/>
      <c r="L120" s="60"/>
      <c r="M120" s="60"/>
      <c r="N120" s="60"/>
      <c r="O120" s="60"/>
      <c r="P120" s="60"/>
      <c r="Q120" s="60"/>
      <c r="R120" s="60"/>
      <c r="S120" s="70"/>
      <c r="T120" s="70"/>
      <c r="U120" s="70"/>
      <c r="V120" s="70"/>
      <c r="W120" s="70"/>
      <c r="X120" s="70"/>
      <c r="Y120" s="70"/>
      <c r="Z120" s="70"/>
      <c r="AA120" s="70"/>
      <c r="AB120" s="70"/>
      <c r="AC120" s="70"/>
      <c r="AD120" s="136"/>
      <c r="AE120" s="24"/>
      <c r="AF120" s="24"/>
      <c r="AG120" s="73"/>
      <c r="AH120" s="125"/>
      <c r="AI120" s="103"/>
      <c r="AK120" s="113"/>
      <c r="AL120" s="113"/>
      <c r="AM120" s="113"/>
      <c r="AN120" s="113"/>
      <c r="AO120" s="137"/>
      <c r="AP120" s="137"/>
      <c r="AQ120" s="137"/>
      <c r="AR120" s="137"/>
      <c r="AS120" s="137"/>
      <c r="AT120" s="137"/>
      <c r="AU120" s="67"/>
      <c r="AV120" s="44"/>
      <c r="AW120" s="67"/>
      <c r="AX120" s="75"/>
      <c r="AY120" s="123"/>
      <c r="AZ120" s="67"/>
      <c r="BA120" s="138"/>
      <c r="BB120" s="67"/>
      <c r="BC120" s="67"/>
      <c r="BD120" s="67"/>
      <c r="BE120" s="67"/>
      <c r="BF120" s="67"/>
      <c r="BG120" s="67"/>
      <c r="BH120" s="67"/>
      <c r="BI120" s="67"/>
      <c r="BJ120" s="67"/>
      <c r="BK120" s="67"/>
      <c r="BL120" s="67"/>
      <c r="BM120" s="70"/>
      <c r="BN120" s="70"/>
      <c r="BO120" s="70"/>
      <c r="BP120" s="70"/>
      <c r="BQ120" s="70"/>
      <c r="BR120" s="70"/>
      <c r="BS120" s="70"/>
      <c r="BT120" s="70"/>
      <c r="BU120" s="70"/>
      <c r="BV120" s="70"/>
      <c r="BW120" s="70"/>
      <c r="BX120" s="136"/>
      <c r="BY120" s="70"/>
      <c r="BZ120" s="67"/>
      <c r="CA120" s="67"/>
      <c r="CB120" s="67"/>
    </row>
    <row r="121" spans="1:80" s="28" customFormat="1" ht="16" customHeight="1">
      <c r="A121" s="39"/>
      <c r="B121" s="57"/>
      <c r="C121" s="67"/>
      <c r="D121" s="67"/>
      <c r="E121" s="39"/>
      <c r="F121" s="39"/>
      <c r="G121" s="39"/>
      <c r="H121" s="67"/>
      <c r="I121" s="60"/>
      <c r="J121" s="60"/>
      <c r="K121" s="60"/>
      <c r="L121" s="60"/>
      <c r="M121" s="60"/>
      <c r="N121" s="60"/>
      <c r="O121" s="60"/>
      <c r="P121" s="60"/>
      <c r="Q121" s="60"/>
      <c r="R121" s="60"/>
      <c r="S121" s="70"/>
      <c r="T121" s="70"/>
      <c r="U121" s="70"/>
      <c r="V121" s="70"/>
      <c r="W121" s="70"/>
      <c r="X121" s="70"/>
      <c r="Y121" s="70"/>
      <c r="Z121" s="70"/>
      <c r="AA121" s="70"/>
      <c r="AB121" s="70"/>
      <c r="AC121" s="70"/>
      <c r="AD121" s="136"/>
      <c r="AE121" s="24"/>
      <c r="AF121" s="24"/>
      <c r="AG121" s="73"/>
      <c r="AH121" s="125"/>
      <c r="AI121" s="103"/>
      <c r="AK121" s="113"/>
      <c r="AL121" s="113"/>
      <c r="AM121" s="113"/>
      <c r="AN121" s="113"/>
      <c r="AO121" s="137"/>
      <c r="AP121" s="137"/>
      <c r="AQ121" s="137"/>
      <c r="AR121" s="137"/>
      <c r="AS121" s="137"/>
      <c r="AT121" s="137"/>
      <c r="AU121" s="67"/>
      <c r="AV121" s="44"/>
      <c r="AW121" s="67"/>
      <c r="AX121" s="75"/>
      <c r="AY121" s="123"/>
      <c r="AZ121" s="67"/>
      <c r="BA121" s="138"/>
      <c r="BB121" s="67"/>
      <c r="BC121" s="67"/>
      <c r="BD121" s="67"/>
      <c r="BE121" s="67"/>
      <c r="BF121" s="67"/>
      <c r="BG121" s="67"/>
      <c r="BH121" s="67"/>
      <c r="BI121" s="67"/>
      <c r="BJ121" s="67"/>
      <c r="BK121" s="67"/>
      <c r="BL121" s="67"/>
      <c r="BM121" s="70"/>
      <c r="BN121" s="70"/>
      <c r="BO121" s="70"/>
      <c r="BP121" s="70"/>
      <c r="BQ121" s="70"/>
      <c r="BR121" s="70"/>
      <c r="BS121" s="70"/>
      <c r="BT121" s="70"/>
      <c r="BU121" s="70"/>
      <c r="BV121" s="70"/>
      <c r="BW121" s="70"/>
      <c r="BX121" s="136"/>
      <c r="BY121" s="70"/>
      <c r="BZ121" s="67"/>
      <c r="CA121" s="67"/>
      <c r="CB121" s="67"/>
    </row>
    <row r="122" spans="1:80" s="28" customFormat="1" ht="16" customHeight="1">
      <c r="A122" s="39"/>
      <c r="B122" s="57"/>
      <c r="C122" s="67"/>
      <c r="D122" s="67"/>
      <c r="E122" s="39"/>
      <c r="F122" s="39"/>
      <c r="G122" s="39"/>
      <c r="H122" s="67"/>
      <c r="I122" s="60"/>
      <c r="J122" s="60"/>
      <c r="K122" s="60"/>
      <c r="L122" s="60"/>
      <c r="M122" s="60"/>
      <c r="N122" s="60"/>
      <c r="O122" s="60"/>
      <c r="P122" s="60"/>
      <c r="Q122" s="60"/>
      <c r="R122" s="60"/>
      <c r="S122" s="70"/>
      <c r="T122" s="70"/>
      <c r="U122" s="70"/>
      <c r="V122" s="70"/>
      <c r="W122" s="70"/>
      <c r="X122" s="70"/>
      <c r="Y122" s="70"/>
      <c r="Z122" s="70"/>
      <c r="AA122" s="70"/>
      <c r="AB122" s="70"/>
      <c r="AC122" s="70"/>
      <c r="AD122" s="136"/>
      <c r="AE122" s="24"/>
      <c r="AF122" s="24"/>
      <c r="AG122" s="73"/>
      <c r="AH122" s="125"/>
      <c r="AI122" s="103"/>
      <c r="AK122" s="113"/>
      <c r="AL122" s="113"/>
      <c r="AM122" s="113"/>
      <c r="AN122" s="113"/>
      <c r="AO122" s="137"/>
      <c r="AP122" s="137"/>
      <c r="AQ122" s="137"/>
      <c r="AR122" s="137"/>
      <c r="AS122" s="137"/>
      <c r="AT122" s="137"/>
      <c r="AU122" s="67"/>
      <c r="AV122" s="44"/>
      <c r="AW122" s="67"/>
      <c r="AX122" s="75"/>
      <c r="AY122" s="123"/>
      <c r="AZ122" s="67"/>
      <c r="BA122" s="138"/>
      <c r="BB122" s="67"/>
      <c r="BC122" s="67"/>
      <c r="BD122" s="67"/>
      <c r="BE122" s="67"/>
      <c r="BF122" s="67"/>
      <c r="BG122" s="67"/>
      <c r="BH122" s="67"/>
      <c r="BI122" s="67"/>
      <c r="BJ122" s="67"/>
      <c r="BK122" s="67"/>
      <c r="BL122" s="67"/>
      <c r="BM122" s="70"/>
      <c r="BN122" s="70"/>
      <c r="BO122" s="70"/>
      <c r="BP122" s="70"/>
      <c r="BQ122" s="70"/>
      <c r="BR122" s="70"/>
      <c r="BS122" s="70"/>
      <c r="BT122" s="70"/>
      <c r="BU122" s="70"/>
      <c r="BV122" s="70"/>
      <c r="BW122" s="70"/>
      <c r="BX122" s="136"/>
      <c r="BY122" s="70"/>
      <c r="BZ122" s="67"/>
      <c r="CA122" s="67"/>
      <c r="CB122" s="67"/>
    </row>
    <row r="123" spans="1:80" s="28" customFormat="1" ht="16" customHeight="1">
      <c r="A123" s="39"/>
      <c r="B123" s="57"/>
      <c r="C123" s="67"/>
      <c r="D123" s="67"/>
      <c r="E123" s="39"/>
      <c r="F123" s="39"/>
      <c r="G123" s="39"/>
      <c r="H123" s="67"/>
      <c r="I123" s="60"/>
      <c r="J123" s="60"/>
      <c r="K123" s="60"/>
      <c r="L123" s="60"/>
      <c r="M123" s="60"/>
      <c r="N123" s="60"/>
      <c r="O123" s="60"/>
      <c r="P123" s="60"/>
      <c r="Q123" s="60"/>
      <c r="R123" s="60"/>
      <c r="S123" s="70"/>
      <c r="T123" s="70"/>
      <c r="U123" s="70"/>
      <c r="V123" s="70"/>
      <c r="W123" s="70"/>
      <c r="X123" s="70"/>
      <c r="Y123" s="70"/>
      <c r="Z123" s="70"/>
      <c r="AA123" s="70"/>
      <c r="AB123" s="70"/>
      <c r="AC123" s="70"/>
      <c r="AD123" s="136"/>
      <c r="AE123" s="24"/>
      <c r="AF123" s="24"/>
      <c r="AG123" s="73"/>
      <c r="AH123" s="125"/>
      <c r="AI123" s="103"/>
      <c r="AK123" s="113"/>
      <c r="AL123" s="113"/>
      <c r="AM123" s="113"/>
      <c r="AN123" s="113"/>
      <c r="AO123" s="137"/>
      <c r="AP123" s="137"/>
      <c r="AQ123" s="137"/>
      <c r="AR123" s="137"/>
      <c r="AS123" s="137"/>
      <c r="AT123" s="137"/>
      <c r="AU123" s="67"/>
      <c r="AV123" s="44"/>
      <c r="AW123" s="67"/>
      <c r="AX123" s="75"/>
      <c r="AY123" s="123"/>
      <c r="AZ123" s="67"/>
      <c r="BA123" s="138"/>
      <c r="BB123" s="67"/>
      <c r="BC123" s="67"/>
      <c r="BD123" s="67"/>
      <c r="BE123" s="67"/>
      <c r="BF123" s="67"/>
      <c r="BG123" s="67"/>
      <c r="BH123" s="67"/>
      <c r="BI123" s="67"/>
      <c r="BJ123" s="67"/>
      <c r="BK123" s="67"/>
      <c r="BL123" s="67"/>
      <c r="BM123" s="70"/>
      <c r="BN123" s="70"/>
      <c r="BO123" s="70"/>
      <c r="BP123" s="70"/>
      <c r="BQ123" s="70"/>
      <c r="BR123" s="70"/>
      <c r="BS123" s="70"/>
      <c r="BT123" s="70"/>
      <c r="BU123" s="70"/>
      <c r="BV123" s="70"/>
      <c r="BW123" s="70"/>
      <c r="BX123" s="136"/>
      <c r="BY123" s="70"/>
      <c r="BZ123" s="67"/>
      <c r="CA123" s="67"/>
      <c r="CB123" s="67"/>
    </row>
    <row r="124" spans="1:80" s="28" customFormat="1" ht="16" customHeight="1">
      <c r="A124" s="39"/>
      <c r="B124" s="57"/>
      <c r="C124" s="67"/>
      <c r="D124" s="67"/>
      <c r="E124" s="39"/>
      <c r="F124" s="39"/>
      <c r="G124" s="39"/>
      <c r="H124" s="67"/>
      <c r="I124" s="60"/>
      <c r="J124" s="60"/>
      <c r="K124" s="60"/>
      <c r="L124" s="60"/>
      <c r="M124" s="60"/>
      <c r="N124" s="60"/>
      <c r="O124" s="60"/>
      <c r="P124" s="60"/>
      <c r="Q124" s="60"/>
      <c r="R124" s="60"/>
      <c r="S124" s="70"/>
      <c r="T124" s="70"/>
      <c r="U124" s="70"/>
      <c r="V124" s="70"/>
      <c r="W124" s="70"/>
      <c r="X124" s="70"/>
      <c r="Y124" s="70"/>
      <c r="Z124" s="70"/>
      <c r="AA124" s="70"/>
      <c r="AB124" s="70"/>
      <c r="AC124" s="70"/>
      <c r="AD124" s="136"/>
      <c r="AE124" s="24"/>
      <c r="AF124" s="24"/>
      <c r="AG124" s="73"/>
      <c r="AH124" s="125"/>
      <c r="AI124" s="103"/>
      <c r="AK124" s="113"/>
      <c r="AL124" s="113"/>
      <c r="AM124" s="113"/>
      <c r="AN124" s="113"/>
      <c r="AO124" s="137"/>
      <c r="AP124" s="137"/>
      <c r="AQ124" s="137"/>
      <c r="AR124" s="137"/>
      <c r="AS124" s="137"/>
      <c r="AT124" s="137"/>
      <c r="AU124" s="67"/>
      <c r="AV124" s="44"/>
      <c r="AW124" s="67"/>
      <c r="AX124" s="75"/>
      <c r="AY124" s="123"/>
      <c r="AZ124" s="67"/>
      <c r="BA124" s="138"/>
      <c r="BB124" s="67"/>
      <c r="BC124" s="67"/>
      <c r="BD124" s="67"/>
      <c r="BE124" s="67"/>
      <c r="BF124" s="67"/>
      <c r="BG124" s="67"/>
      <c r="BH124" s="67"/>
      <c r="BI124" s="67"/>
      <c r="BJ124" s="67"/>
      <c r="BK124" s="67"/>
      <c r="BL124" s="67"/>
      <c r="BM124" s="70"/>
      <c r="BN124" s="70"/>
      <c r="BO124" s="70"/>
      <c r="BP124" s="70"/>
      <c r="BQ124" s="70"/>
      <c r="BR124" s="70"/>
      <c r="BS124" s="70"/>
      <c r="BT124" s="70"/>
      <c r="BU124" s="70"/>
      <c r="BV124" s="70"/>
      <c r="BW124" s="70"/>
      <c r="BX124" s="136"/>
      <c r="BY124" s="70"/>
      <c r="BZ124" s="67"/>
      <c r="CA124" s="67"/>
      <c r="CB124" s="67"/>
    </row>
    <row r="125" spans="1:80" s="28" customFormat="1" ht="16" customHeight="1">
      <c r="A125" s="39"/>
      <c r="B125" s="57"/>
      <c r="C125" s="67"/>
      <c r="D125" s="67"/>
      <c r="E125" s="39"/>
      <c r="F125" s="39"/>
      <c r="G125" s="39"/>
      <c r="H125" s="67"/>
      <c r="I125" s="60"/>
      <c r="J125" s="60"/>
      <c r="K125" s="60"/>
      <c r="L125" s="60"/>
      <c r="M125" s="60"/>
      <c r="N125" s="60"/>
      <c r="O125" s="60"/>
      <c r="P125" s="60"/>
      <c r="Q125" s="60"/>
      <c r="R125" s="60"/>
      <c r="S125" s="70"/>
      <c r="T125" s="70"/>
      <c r="U125" s="70"/>
      <c r="V125" s="70"/>
      <c r="W125" s="70"/>
      <c r="X125" s="70"/>
      <c r="Y125" s="70"/>
      <c r="Z125" s="70"/>
      <c r="AA125" s="70"/>
      <c r="AB125" s="70"/>
      <c r="AC125" s="70"/>
      <c r="AD125" s="136"/>
      <c r="AE125" s="24"/>
      <c r="AF125" s="24"/>
      <c r="AG125" s="73"/>
      <c r="AH125" s="125"/>
      <c r="AI125" s="103"/>
      <c r="AK125" s="113"/>
      <c r="AL125" s="113"/>
      <c r="AM125" s="113"/>
      <c r="AN125" s="113"/>
      <c r="AO125" s="137"/>
      <c r="AP125" s="137"/>
      <c r="AQ125" s="137"/>
      <c r="AR125" s="137"/>
      <c r="AS125" s="137"/>
      <c r="AT125" s="137"/>
      <c r="AU125" s="67"/>
      <c r="AV125" s="44"/>
      <c r="AW125" s="67"/>
      <c r="AX125" s="75"/>
      <c r="AY125" s="123"/>
      <c r="AZ125" s="67"/>
      <c r="BA125" s="138"/>
      <c r="BB125" s="67"/>
      <c r="BC125" s="67"/>
      <c r="BD125" s="67"/>
      <c r="BE125" s="67"/>
      <c r="BF125" s="67"/>
      <c r="BG125" s="67"/>
      <c r="BH125" s="67"/>
      <c r="BI125" s="67"/>
      <c r="BJ125" s="67"/>
      <c r="BK125" s="67"/>
      <c r="BL125" s="67"/>
      <c r="BM125" s="70"/>
      <c r="BN125" s="70"/>
      <c r="BO125" s="70"/>
      <c r="BP125" s="70"/>
      <c r="BQ125" s="70"/>
      <c r="BR125" s="70"/>
      <c r="BS125" s="70"/>
      <c r="BT125" s="70"/>
      <c r="BU125" s="70"/>
      <c r="BV125" s="70"/>
      <c r="BW125" s="70"/>
      <c r="BX125" s="136"/>
      <c r="BY125" s="70"/>
      <c r="BZ125" s="67"/>
      <c r="CA125" s="67"/>
      <c r="CB125" s="67"/>
    </row>
    <row r="126" spans="1:80" s="28" customFormat="1" ht="16" customHeight="1">
      <c r="A126" s="39"/>
      <c r="B126" s="57"/>
      <c r="C126" s="67"/>
      <c r="D126" s="67"/>
      <c r="E126" s="39"/>
      <c r="F126" s="39"/>
      <c r="G126" s="39"/>
      <c r="H126" s="67"/>
      <c r="I126" s="60"/>
      <c r="J126" s="60"/>
      <c r="K126" s="60"/>
      <c r="L126" s="60"/>
      <c r="M126" s="60"/>
      <c r="N126" s="60"/>
      <c r="O126" s="60"/>
      <c r="P126" s="60"/>
      <c r="Q126" s="60"/>
      <c r="R126" s="60"/>
      <c r="S126" s="70"/>
      <c r="T126" s="70"/>
      <c r="U126" s="70"/>
      <c r="V126" s="70"/>
      <c r="W126" s="70"/>
      <c r="X126" s="70"/>
      <c r="Y126" s="70"/>
      <c r="Z126" s="70"/>
      <c r="AA126" s="70"/>
      <c r="AB126" s="70"/>
      <c r="AC126" s="70"/>
      <c r="AD126" s="136"/>
      <c r="AE126" s="24"/>
      <c r="AF126" s="24"/>
      <c r="AG126" s="73"/>
      <c r="AH126" s="125"/>
      <c r="AI126" s="103"/>
      <c r="AK126" s="113"/>
      <c r="AL126" s="113"/>
      <c r="AM126" s="113"/>
      <c r="AN126" s="113"/>
      <c r="AO126" s="137"/>
      <c r="AP126" s="137"/>
      <c r="AQ126" s="137"/>
      <c r="AR126" s="137"/>
      <c r="AS126" s="137"/>
      <c r="AT126" s="137"/>
      <c r="AU126" s="67"/>
      <c r="AV126" s="44"/>
      <c r="AW126" s="67"/>
      <c r="AX126" s="75"/>
      <c r="AY126" s="123"/>
      <c r="AZ126" s="67"/>
      <c r="BA126" s="138"/>
      <c r="BB126" s="67"/>
      <c r="BC126" s="67"/>
      <c r="BD126" s="67"/>
      <c r="BE126" s="67"/>
      <c r="BF126" s="67"/>
      <c r="BG126" s="67"/>
      <c r="BH126" s="67"/>
      <c r="BI126" s="67"/>
      <c r="BJ126" s="67"/>
      <c r="BK126" s="67"/>
      <c r="BL126" s="67"/>
      <c r="BM126" s="70"/>
      <c r="BN126" s="70"/>
      <c r="BO126" s="70"/>
      <c r="BP126" s="70"/>
      <c r="BQ126" s="70"/>
      <c r="BR126" s="70"/>
      <c r="BS126" s="70"/>
      <c r="BT126" s="70"/>
      <c r="BU126" s="70"/>
      <c r="BV126" s="70"/>
      <c r="BW126" s="70"/>
      <c r="BX126" s="136"/>
      <c r="BY126" s="70"/>
      <c r="BZ126" s="67"/>
      <c r="CA126" s="67"/>
      <c r="CB126" s="67"/>
    </row>
    <row r="127" spans="1:80" s="28" customFormat="1" ht="16" customHeight="1">
      <c r="A127" s="39"/>
      <c r="B127" s="57"/>
      <c r="C127" s="67"/>
      <c r="D127" s="67"/>
      <c r="E127" s="39"/>
      <c r="F127" s="39"/>
      <c r="G127" s="39"/>
      <c r="H127" s="67"/>
      <c r="I127" s="60"/>
      <c r="J127" s="60"/>
      <c r="K127" s="60"/>
      <c r="L127" s="60"/>
      <c r="M127" s="60"/>
      <c r="N127" s="60"/>
      <c r="O127" s="60"/>
      <c r="P127" s="60"/>
      <c r="Q127" s="60"/>
      <c r="R127" s="60"/>
      <c r="S127" s="70"/>
      <c r="T127" s="70"/>
      <c r="U127" s="70"/>
      <c r="V127" s="70"/>
      <c r="W127" s="70"/>
      <c r="X127" s="70"/>
      <c r="Y127" s="70"/>
      <c r="Z127" s="70"/>
      <c r="AA127" s="70"/>
      <c r="AB127" s="70"/>
      <c r="AC127" s="70"/>
      <c r="AD127" s="136"/>
      <c r="AE127" s="24"/>
      <c r="AF127" s="24"/>
      <c r="AG127" s="73"/>
      <c r="AH127" s="125"/>
      <c r="AI127" s="103"/>
      <c r="AK127" s="113"/>
      <c r="AL127" s="113"/>
      <c r="AM127" s="113"/>
      <c r="AN127" s="113"/>
      <c r="AO127" s="137"/>
      <c r="AP127" s="137"/>
      <c r="AQ127" s="137"/>
      <c r="AR127" s="137"/>
      <c r="AS127" s="137"/>
      <c r="AT127" s="137"/>
      <c r="AU127" s="67"/>
      <c r="AV127" s="44"/>
      <c r="AW127" s="67"/>
      <c r="AX127" s="75"/>
      <c r="AY127" s="123"/>
      <c r="AZ127" s="67"/>
      <c r="BA127" s="138"/>
      <c r="BB127" s="67"/>
      <c r="BC127" s="67"/>
      <c r="BD127" s="67"/>
      <c r="BE127" s="67"/>
      <c r="BF127" s="67"/>
      <c r="BG127" s="67"/>
      <c r="BH127" s="67"/>
      <c r="BI127" s="67"/>
      <c r="BJ127" s="67"/>
      <c r="BK127" s="67"/>
      <c r="BL127" s="67"/>
      <c r="BM127" s="70"/>
      <c r="BN127" s="70"/>
      <c r="BO127" s="70"/>
      <c r="BP127" s="70"/>
      <c r="BQ127" s="70"/>
      <c r="BR127" s="70"/>
      <c r="BS127" s="70"/>
      <c r="BT127" s="70"/>
      <c r="BU127" s="70"/>
      <c r="BV127" s="70"/>
      <c r="BW127" s="70"/>
      <c r="BX127" s="136"/>
      <c r="BY127" s="70"/>
      <c r="BZ127" s="67"/>
      <c r="CA127" s="67"/>
      <c r="CB127" s="67"/>
    </row>
    <row r="128" spans="1:80" s="28" customFormat="1" ht="16" customHeight="1">
      <c r="A128" s="39"/>
      <c r="B128" s="57"/>
      <c r="C128" s="67"/>
      <c r="D128" s="67"/>
      <c r="E128" s="39"/>
      <c r="F128" s="39"/>
      <c r="G128" s="39"/>
      <c r="H128" s="67"/>
      <c r="I128" s="60"/>
      <c r="J128" s="60"/>
      <c r="K128" s="60"/>
      <c r="L128" s="60"/>
      <c r="M128" s="60"/>
      <c r="N128" s="60"/>
      <c r="O128" s="60"/>
      <c r="P128" s="60"/>
      <c r="Q128" s="60"/>
      <c r="R128" s="60"/>
      <c r="S128" s="70"/>
      <c r="T128" s="70"/>
      <c r="U128" s="70"/>
      <c r="V128" s="70"/>
      <c r="W128" s="70"/>
      <c r="X128" s="70"/>
      <c r="Y128" s="70"/>
      <c r="Z128" s="70"/>
      <c r="AA128" s="70"/>
      <c r="AB128" s="70"/>
      <c r="AC128" s="70"/>
      <c r="AD128" s="136"/>
      <c r="AE128" s="24"/>
      <c r="AF128" s="24"/>
      <c r="AG128" s="73"/>
      <c r="AH128" s="125"/>
      <c r="AI128" s="103"/>
      <c r="AK128" s="113"/>
      <c r="AL128" s="113"/>
      <c r="AM128" s="113"/>
      <c r="AN128" s="113"/>
      <c r="AO128" s="137"/>
      <c r="AP128" s="137"/>
      <c r="AQ128" s="137"/>
      <c r="AR128" s="137"/>
      <c r="AS128" s="137"/>
      <c r="AT128" s="137"/>
      <c r="AU128" s="67"/>
      <c r="AV128" s="44"/>
      <c r="AW128" s="67"/>
      <c r="AX128" s="75"/>
      <c r="AY128" s="123"/>
      <c r="AZ128" s="67"/>
      <c r="BA128" s="138"/>
      <c r="BB128" s="67"/>
      <c r="BC128" s="67"/>
      <c r="BD128" s="67"/>
      <c r="BE128" s="67"/>
      <c r="BF128" s="67"/>
      <c r="BG128" s="67"/>
      <c r="BH128" s="67"/>
      <c r="BI128" s="67"/>
      <c r="BJ128" s="67"/>
      <c r="BK128" s="67"/>
      <c r="BL128" s="67"/>
      <c r="BM128" s="70"/>
      <c r="BN128" s="70"/>
      <c r="BO128" s="70"/>
      <c r="BP128" s="70"/>
      <c r="BQ128" s="70"/>
      <c r="BR128" s="70"/>
      <c r="BS128" s="70"/>
      <c r="BT128" s="70"/>
      <c r="BU128" s="70"/>
      <c r="BV128" s="70"/>
      <c r="BW128" s="70"/>
      <c r="BX128" s="136"/>
      <c r="BY128" s="70"/>
      <c r="BZ128" s="67"/>
      <c r="CA128" s="67"/>
      <c r="CB128" s="67"/>
    </row>
    <row r="129" spans="1:80" s="28" customFormat="1" ht="16" customHeight="1">
      <c r="A129" s="39"/>
      <c r="B129" s="57"/>
      <c r="C129" s="67"/>
      <c r="D129" s="67"/>
      <c r="E129" s="39"/>
      <c r="F129" s="39"/>
      <c r="G129" s="39"/>
      <c r="H129" s="67"/>
      <c r="I129" s="60"/>
      <c r="J129" s="60"/>
      <c r="K129" s="60"/>
      <c r="L129" s="60"/>
      <c r="M129" s="60"/>
      <c r="N129" s="60"/>
      <c r="O129" s="60"/>
      <c r="P129" s="60"/>
      <c r="Q129" s="60"/>
      <c r="R129" s="60"/>
      <c r="S129" s="70"/>
      <c r="T129" s="70"/>
      <c r="U129" s="70"/>
      <c r="V129" s="70"/>
      <c r="W129" s="70"/>
      <c r="X129" s="70"/>
      <c r="Y129" s="70"/>
      <c r="Z129" s="70"/>
      <c r="AA129" s="70"/>
      <c r="AB129" s="70"/>
      <c r="AC129" s="70"/>
      <c r="AD129" s="136"/>
      <c r="AE129" s="24"/>
      <c r="AF129" s="24"/>
      <c r="AG129" s="73"/>
      <c r="AH129" s="125"/>
      <c r="AI129" s="103"/>
      <c r="AK129" s="113"/>
      <c r="AL129" s="113"/>
      <c r="AM129" s="113"/>
      <c r="AN129" s="113"/>
      <c r="AO129" s="137"/>
      <c r="AP129" s="137"/>
      <c r="AQ129" s="137"/>
      <c r="AR129" s="137"/>
      <c r="AS129" s="137"/>
      <c r="AT129" s="137"/>
      <c r="AU129" s="67"/>
      <c r="AV129" s="44"/>
      <c r="AW129" s="67"/>
      <c r="AX129" s="75"/>
      <c r="AY129" s="123"/>
      <c r="AZ129" s="67"/>
      <c r="BA129" s="138"/>
      <c r="BB129" s="67"/>
      <c r="BC129" s="67"/>
      <c r="BD129" s="67"/>
      <c r="BE129" s="67"/>
      <c r="BF129" s="67"/>
      <c r="BG129" s="67"/>
      <c r="BH129" s="67"/>
      <c r="BI129" s="67"/>
      <c r="BJ129" s="67"/>
      <c r="BK129" s="67"/>
      <c r="BL129" s="67"/>
      <c r="BM129" s="70"/>
      <c r="BN129" s="70"/>
      <c r="BO129" s="70"/>
      <c r="BP129" s="70"/>
      <c r="BQ129" s="70"/>
      <c r="BR129" s="70"/>
      <c r="BS129" s="70"/>
      <c r="BT129" s="70"/>
      <c r="BU129" s="70"/>
      <c r="BV129" s="70"/>
      <c r="BW129" s="70"/>
      <c r="BX129" s="136"/>
      <c r="BY129" s="70"/>
      <c r="BZ129" s="67"/>
      <c r="CA129" s="67"/>
      <c r="CB129" s="67"/>
    </row>
    <row r="130" spans="1:80" s="28" customFormat="1" ht="16" customHeight="1">
      <c r="A130" s="39"/>
      <c r="B130" s="57"/>
      <c r="C130" s="67"/>
      <c r="D130" s="67"/>
      <c r="E130" s="39"/>
      <c r="F130" s="39"/>
      <c r="G130" s="39"/>
      <c r="H130" s="67"/>
      <c r="I130" s="60"/>
      <c r="J130" s="60"/>
      <c r="K130" s="60"/>
      <c r="L130" s="60"/>
      <c r="M130" s="60"/>
      <c r="N130" s="60"/>
      <c r="O130" s="60"/>
      <c r="P130" s="60"/>
      <c r="Q130" s="60"/>
      <c r="R130" s="60"/>
      <c r="S130" s="70"/>
      <c r="T130" s="70"/>
      <c r="U130" s="70"/>
      <c r="V130" s="70"/>
      <c r="W130" s="70"/>
      <c r="X130" s="70"/>
      <c r="Y130" s="70"/>
      <c r="Z130" s="70"/>
      <c r="AA130" s="70"/>
      <c r="AB130" s="70"/>
      <c r="AC130" s="70"/>
      <c r="AD130" s="136"/>
      <c r="AE130" s="24"/>
      <c r="AF130" s="24"/>
      <c r="AG130" s="73"/>
      <c r="AH130" s="125"/>
      <c r="AI130" s="103"/>
      <c r="AK130" s="113"/>
      <c r="AL130" s="113"/>
      <c r="AM130" s="113"/>
      <c r="AN130" s="113"/>
      <c r="AO130" s="137"/>
      <c r="AP130" s="137"/>
      <c r="AQ130" s="137"/>
      <c r="AR130" s="137"/>
      <c r="AS130" s="137"/>
      <c r="AT130" s="137"/>
      <c r="AU130" s="67"/>
      <c r="AV130" s="44"/>
      <c r="AW130" s="67"/>
      <c r="AX130" s="75"/>
      <c r="AY130" s="123"/>
      <c r="AZ130" s="67"/>
      <c r="BA130" s="138"/>
      <c r="BB130" s="67"/>
      <c r="BC130" s="67"/>
      <c r="BD130" s="67"/>
      <c r="BE130" s="67"/>
      <c r="BF130" s="67"/>
      <c r="BG130" s="67"/>
      <c r="BH130" s="67"/>
      <c r="BI130" s="67"/>
      <c r="BJ130" s="67"/>
      <c r="BK130" s="67"/>
      <c r="BL130" s="67"/>
      <c r="BM130" s="70"/>
      <c r="BN130" s="70"/>
      <c r="BO130" s="70"/>
      <c r="BP130" s="70"/>
      <c r="BQ130" s="70"/>
      <c r="BR130" s="70"/>
      <c r="BS130" s="70"/>
      <c r="BT130" s="70"/>
      <c r="BU130" s="70"/>
      <c r="BV130" s="70"/>
      <c r="BW130" s="70"/>
      <c r="BX130" s="136"/>
      <c r="BY130" s="70"/>
      <c r="BZ130" s="67"/>
      <c r="CA130" s="67"/>
      <c r="CB130" s="67"/>
    </row>
    <row r="131" spans="1:80" s="28" customFormat="1" ht="16" customHeight="1">
      <c r="A131" s="39"/>
      <c r="B131" s="57"/>
      <c r="C131" s="67"/>
      <c r="D131" s="67"/>
      <c r="E131" s="39"/>
      <c r="F131" s="39"/>
      <c r="G131" s="39"/>
      <c r="H131" s="67"/>
      <c r="I131" s="60"/>
      <c r="J131" s="60"/>
      <c r="K131" s="60"/>
      <c r="L131" s="60"/>
      <c r="M131" s="60"/>
      <c r="N131" s="60"/>
      <c r="O131" s="60"/>
      <c r="P131" s="60"/>
      <c r="Q131" s="60"/>
      <c r="R131" s="60"/>
      <c r="S131" s="70"/>
      <c r="T131" s="70"/>
      <c r="U131" s="70"/>
      <c r="V131" s="70"/>
      <c r="W131" s="70"/>
      <c r="X131" s="70"/>
      <c r="Y131" s="70"/>
      <c r="Z131" s="70"/>
      <c r="AA131" s="70"/>
      <c r="AB131" s="70"/>
      <c r="AC131" s="70"/>
      <c r="AD131" s="136"/>
      <c r="AE131" s="24"/>
      <c r="AF131" s="24"/>
      <c r="AG131" s="73"/>
      <c r="AH131" s="125"/>
      <c r="AI131" s="103"/>
      <c r="AK131" s="113"/>
      <c r="AL131" s="113"/>
      <c r="AM131" s="113"/>
      <c r="AN131" s="113"/>
      <c r="AO131" s="137"/>
      <c r="AP131" s="137"/>
      <c r="AQ131" s="137"/>
      <c r="AR131" s="137"/>
      <c r="AS131" s="137"/>
      <c r="AT131" s="137"/>
      <c r="AU131" s="67"/>
      <c r="AV131" s="44"/>
      <c r="AW131" s="67"/>
      <c r="AX131" s="75"/>
      <c r="AY131" s="123"/>
      <c r="AZ131" s="67"/>
      <c r="BA131" s="138"/>
      <c r="BB131" s="67"/>
      <c r="BC131" s="67"/>
      <c r="BD131" s="67"/>
      <c r="BE131" s="67"/>
      <c r="BF131" s="67"/>
      <c r="BG131" s="67"/>
      <c r="BH131" s="67"/>
      <c r="BI131" s="67"/>
      <c r="BJ131" s="67"/>
      <c r="BK131" s="67"/>
      <c r="BL131" s="67"/>
      <c r="BM131" s="70"/>
      <c r="BN131" s="70"/>
      <c r="BO131" s="70"/>
      <c r="BP131" s="70"/>
      <c r="BQ131" s="70"/>
      <c r="BR131" s="70"/>
      <c r="BS131" s="70"/>
      <c r="BT131" s="70"/>
      <c r="BU131" s="70"/>
      <c r="BV131" s="70"/>
      <c r="BW131" s="70"/>
      <c r="BX131" s="136"/>
      <c r="BY131" s="70"/>
      <c r="BZ131" s="67"/>
      <c r="CA131" s="67"/>
      <c r="CB131" s="67"/>
    </row>
    <row r="132" spans="1:80" s="28" customFormat="1" ht="16" customHeight="1">
      <c r="A132" s="39"/>
      <c r="B132" s="57"/>
      <c r="C132" s="67"/>
      <c r="D132" s="67"/>
      <c r="E132" s="39"/>
      <c r="F132" s="39"/>
      <c r="G132" s="39"/>
      <c r="H132" s="67"/>
      <c r="I132" s="60"/>
      <c r="J132" s="60"/>
      <c r="K132" s="60"/>
      <c r="L132" s="60"/>
      <c r="M132" s="60"/>
      <c r="N132" s="60"/>
      <c r="O132" s="60"/>
      <c r="P132" s="60"/>
      <c r="Q132" s="60"/>
      <c r="R132" s="60"/>
      <c r="S132" s="70"/>
      <c r="T132" s="70"/>
      <c r="U132" s="70"/>
      <c r="V132" s="70"/>
      <c r="W132" s="70"/>
      <c r="X132" s="70"/>
      <c r="Y132" s="70"/>
      <c r="Z132" s="70"/>
      <c r="AA132" s="70"/>
      <c r="AB132" s="70"/>
      <c r="AC132" s="70"/>
      <c r="AD132" s="136"/>
      <c r="AE132" s="24"/>
      <c r="AF132" s="24"/>
      <c r="AG132" s="73"/>
      <c r="AH132" s="125"/>
      <c r="AI132" s="103"/>
      <c r="AK132" s="113"/>
      <c r="AL132" s="113"/>
      <c r="AM132" s="113"/>
      <c r="AN132" s="113"/>
      <c r="AO132" s="137"/>
      <c r="AP132" s="137"/>
      <c r="AQ132" s="137"/>
      <c r="AR132" s="137"/>
      <c r="AS132" s="137"/>
      <c r="AT132" s="137"/>
      <c r="AU132" s="67"/>
      <c r="AV132" s="44"/>
      <c r="AW132" s="67"/>
      <c r="AX132" s="75"/>
      <c r="AY132" s="123"/>
      <c r="AZ132" s="67"/>
      <c r="BA132" s="138"/>
      <c r="BB132" s="67"/>
      <c r="BC132" s="67"/>
      <c r="BD132" s="67"/>
      <c r="BE132" s="67"/>
      <c r="BF132" s="67"/>
      <c r="BG132" s="67"/>
      <c r="BH132" s="67"/>
      <c r="BI132" s="67"/>
      <c r="BJ132" s="67"/>
      <c r="BK132" s="67"/>
      <c r="BL132" s="67"/>
      <c r="BM132" s="70"/>
      <c r="BN132" s="70"/>
      <c r="BO132" s="70"/>
      <c r="BP132" s="70"/>
      <c r="BQ132" s="70"/>
      <c r="BR132" s="70"/>
      <c r="BS132" s="70"/>
      <c r="BT132" s="70"/>
      <c r="BU132" s="70"/>
      <c r="BV132" s="70"/>
      <c r="BW132" s="70"/>
      <c r="BX132" s="136"/>
      <c r="BY132" s="70"/>
      <c r="BZ132" s="67"/>
      <c r="CA132" s="67"/>
      <c r="CB132" s="67"/>
    </row>
    <row r="133" spans="1:80" s="28" customFormat="1" ht="16" customHeight="1">
      <c r="A133" s="39"/>
      <c r="B133" s="57"/>
      <c r="C133" s="67"/>
      <c r="D133" s="67"/>
      <c r="E133" s="39"/>
      <c r="F133" s="39"/>
      <c r="G133" s="39"/>
      <c r="H133" s="67"/>
      <c r="I133" s="60"/>
      <c r="J133" s="60"/>
      <c r="K133" s="60"/>
      <c r="L133" s="60"/>
      <c r="M133" s="60"/>
      <c r="N133" s="60"/>
      <c r="O133" s="60"/>
      <c r="P133" s="60"/>
      <c r="Q133" s="60"/>
      <c r="R133" s="60"/>
      <c r="S133" s="70"/>
      <c r="T133" s="70"/>
      <c r="U133" s="70"/>
      <c r="V133" s="70"/>
      <c r="W133" s="70"/>
      <c r="X133" s="70"/>
      <c r="Y133" s="70"/>
      <c r="Z133" s="70"/>
      <c r="AA133" s="70"/>
      <c r="AB133" s="70"/>
      <c r="AC133" s="70"/>
      <c r="AD133" s="136"/>
      <c r="AE133" s="24"/>
      <c r="AF133" s="24"/>
      <c r="AG133" s="73"/>
      <c r="AH133" s="125"/>
      <c r="AI133" s="103"/>
      <c r="AK133" s="113"/>
      <c r="AL133" s="113"/>
      <c r="AM133" s="113"/>
      <c r="AN133" s="113"/>
      <c r="AO133" s="137"/>
      <c r="AP133" s="137"/>
      <c r="AQ133" s="137"/>
      <c r="AR133" s="137"/>
      <c r="AS133" s="137"/>
      <c r="AT133" s="137"/>
      <c r="AU133" s="67"/>
      <c r="AV133" s="44"/>
      <c r="AW133" s="67"/>
      <c r="AX133" s="75"/>
      <c r="AY133" s="123"/>
      <c r="AZ133" s="67"/>
      <c r="BA133" s="138"/>
      <c r="BB133" s="67"/>
      <c r="BC133" s="67"/>
      <c r="BD133" s="67"/>
      <c r="BE133" s="67"/>
      <c r="BF133" s="67"/>
      <c r="BG133" s="67"/>
      <c r="BH133" s="67"/>
      <c r="BI133" s="67"/>
      <c r="BJ133" s="67"/>
      <c r="BK133" s="67"/>
      <c r="BL133" s="67"/>
      <c r="BM133" s="70"/>
      <c r="BN133" s="70"/>
      <c r="BO133" s="70"/>
      <c r="BP133" s="70"/>
      <c r="BQ133" s="70"/>
      <c r="BR133" s="70"/>
      <c r="BS133" s="70"/>
      <c r="BT133" s="70"/>
      <c r="BU133" s="70"/>
      <c r="BV133" s="70"/>
      <c r="BW133" s="70"/>
      <c r="BX133" s="136"/>
      <c r="BY133" s="70"/>
      <c r="BZ133" s="67"/>
      <c r="CA133" s="67"/>
      <c r="CB133" s="67"/>
    </row>
    <row r="134" spans="1:80" s="28" customFormat="1" ht="16" customHeight="1">
      <c r="A134" s="39"/>
      <c r="B134" s="57"/>
      <c r="C134" s="67"/>
      <c r="D134" s="67"/>
      <c r="E134" s="39"/>
      <c r="F134" s="39"/>
      <c r="G134" s="39"/>
      <c r="H134" s="67"/>
      <c r="I134" s="60"/>
      <c r="J134" s="60"/>
      <c r="K134" s="60"/>
      <c r="L134" s="60"/>
      <c r="M134" s="60"/>
      <c r="N134" s="60"/>
      <c r="O134" s="60"/>
      <c r="P134" s="60"/>
      <c r="Q134" s="60"/>
      <c r="R134" s="60"/>
      <c r="S134" s="70"/>
      <c r="T134" s="70"/>
      <c r="U134" s="70"/>
      <c r="V134" s="70"/>
      <c r="W134" s="70"/>
      <c r="X134" s="70"/>
      <c r="Y134" s="70"/>
      <c r="Z134" s="70"/>
      <c r="AA134" s="70"/>
      <c r="AB134" s="70"/>
      <c r="AC134" s="70"/>
      <c r="AD134" s="136"/>
      <c r="AE134" s="24"/>
      <c r="AF134" s="24"/>
      <c r="AG134" s="73"/>
      <c r="AH134" s="125"/>
      <c r="AI134" s="103"/>
      <c r="AK134" s="113"/>
      <c r="AL134" s="113"/>
      <c r="AM134" s="113"/>
      <c r="AN134" s="113"/>
      <c r="AO134" s="137"/>
      <c r="AP134" s="137"/>
      <c r="AQ134" s="137"/>
      <c r="AR134" s="137"/>
      <c r="AS134" s="137"/>
      <c r="AT134" s="137"/>
      <c r="AU134" s="67"/>
      <c r="AV134" s="44"/>
      <c r="AW134" s="67"/>
      <c r="AX134" s="75"/>
      <c r="AY134" s="123"/>
      <c r="AZ134" s="67"/>
      <c r="BA134" s="138"/>
      <c r="BB134" s="67"/>
      <c r="BC134" s="67"/>
      <c r="BD134" s="67"/>
      <c r="BE134" s="67"/>
      <c r="BF134" s="67"/>
      <c r="BG134" s="67"/>
      <c r="BH134" s="67"/>
      <c r="BI134" s="67"/>
      <c r="BJ134" s="67"/>
      <c r="BK134" s="67"/>
      <c r="BL134" s="67"/>
      <c r="BM134" s="70"/>
      <c r="BN134" s="70"/>
      <c r="BO134" s="70"/>
      <c r="BP134" s="70"/>
      <c r="BQ134" s="70"/>
      <c r="BR134" s="70"/>
      <c r="BS134" s="70"/>
      <c r="BT134" s="70"/>
      <c r="BU134" s="70"/>
      <c r="BV134" s="70"/>
      <c r="BW134" s="70"/>
      <c r="BX134" s="136"/>
      <c r="BY134" s="70"/>
      <c r="BZ134" s="67"/>
      <c r="CA134" s="67"/>
      <c r="CB134" s="67"/>
    </row>
    <row r="135" spans="1:80" s="28" customFormat="1" ht="16" customHeight="1">
      <c r="A135" s="39"/>
      <c r="B135" s="57"/>
      <c r="C135" s="67"/>
      <c r="D135" s="67"/>
      <c r="E135" s="39"/>
      <c r="F135" s="39"/>
      <c r="G135" s="39"/>
      <c r="H135" s="67"/>
      <c r="I135" s="60"/>
      <c r="J135" s="60"/>
      <c r="K135" s="60"/>
      <c r="L135" s="60"/>
      <c r="M135" s="60"/>
      <c r="N135" s="60"/>
      <c r="O135" s="60"/>
      <c r="P135" s="60"/>
      <c r="Q135" s="60"/>
      <c r="R135" s="60"/>
      <c r="S135" s="70"/>
      <c r="T135" s="70"/>
      <c r="U135" s="70"/>
      <c r="V135" s="70"/>
      <c r="W135" s="70"/>
      <c r="X135" s="70"/>
      <c r="Y135" s="70"/>
      <c r="Z135" s="70"/>
      <c r="AA135" s="70"/>
      <c r="AB135" s="70"/>
      <c r="AC135" s="70"/>
      <c r="AD135" s="136"/>
      <c r="AE135" s="24"/>
      <c r="AF135" s="24"/>
      <c r="AG135" s="73"/>
      <c r="AH135" s="125"/>
      <c r="AI135" s="103"/>
      <c r="AK135" s="113"/>
      <c r="AL135" s="113"/>
      <c r="AM135" s="113"/>
      <c r="AN135" s="113"/>
      <c r="AO135" s="137"/>
      <c r="AP135" s="137"/>
      <c r="AQ135" s="137"/>
      <c r="AR135" s="137"/>
      <c r="AS135" s="137"/>
      <c r="AT135" s="137"/>
      <c r="AU135" s="67"/>
      <c r="AV135" s="44"/>
      <c r="AW135" s="67"/>
      <c r="AX135" s="75"/>
      <c r="AY135" s="123"/>
      <c r="AZ135" s="67"/>
      <c r="BA135" s="138"/>
      <c r="BB135" s="67"/>
      <c r="BC135" s="67"/>
      <c r="BD135" s="67"/>
      <c r="BE135" s="67"/>
      <c r="BF135" s="67"/>
      <c r="BG135" s="67"/>
      <c r="BH135" s="67"/>
      <c r="BI135" s="67"/>
      <c r="BJ135" s="67"/>
      <c r="BK135" s="67"/>
      <c r="BL135" s="67"/>
      <c r="BM135" s="70"/>
      <c r="BN135" s="70"/>
      <c r="BO135" s="70"/>
      <c r="BP135" s="70"/>
      <c r="BQ135" s="70"/>
      <c r="BR135" s="70"/>
      <c r="BS135" s="70"/>
      <c r="BT135" s="70"/>
      <c r="BU135" s="70"/>
      <c r="BV135" s="70"/>
      <c r="BW135" s="70"/>
      <c r="BX135" s="136"/>
      <c r="BY135" s="70"/>
      <c r="BZ135" s="67"/>
      <c r="CA135" s="67"/>
      <c r="CB135" s="67"/>
    </row>
    <row r="136" spans="1:80" s="28" customFormat="1" ht="16" customHeight="1">
      <c r="A136" s="39"/>
      <c r="B136" s="57"/>
      <c r="C136" s="67"/>
      <c r="D136" s="67"/>
      <c r="E136" s="39"/>
      <c r="F136" s="39"/>
      <c r="G136" s="39"/>
      <c r="H136" s="67"/>
      <c r="I136" s="60"/>
      <c r="J136" s="60"/>
      <c r="K136" s="60"/>
      <c r="L136" s="60"/>
      <c r="M136" s="60"/>
      <c r="N136" s="60"/>
      <c r="O136" s="60"/>
      <c r="P136" s="60"/>
      <c r="Q136" s="60"/>
      <c r="R136" s="60"/>
      <c r="S136" s="70"/>
      <c r="T136" s="70"/>
      <c r="U136" s="70"/>
      <c r="V136" s="70"/>
      <c r="W136" s="70"/>
      <c r="X136" s="70"/>
      <c r="Y136" s="70"/>
      <c r="Z136" s="70"/>
      <c r="AA136" s="70"/>
      <c r="AB136" s="70"/>
      <c r="AC136" s="70"/>
      <c r="AD136" s="136"/>
      <c r="AE136" s="24"/>
      <c r="AF136" s="24"/>
      <c r="AG136" s="73"/>
      <c r="AH136" s="125"/>
      <c r="AI136" s="103"/>
      <c r="AK136" s="113"/>
      <c r="AL136" s="113"/>
      <c r="AM136" s="113"/>
      <c r="AN136" s="113"/>
      <c r="AO136" s="137"/>
      <c r="AP136" s="137"/>
      <c r="AQ136" s="137"/>
      <c r="AR136" s="137"/>
      <c r="AS136" s="137"/>
      <c r="AT136" s="137"/>
      <c r="AU136" s="67"/>
      <c r="AV136" s="44"/>
      <c r="AW136" s="67"/>
      <c r="AX136" s="75"/>
      <c r="AY136" s="123"/>
      <c r="AZ136" s="67"/>
      <c r="BA136" s="138"/>
      <c r="BB136" s="67"/>
      <c r="BC136" s="67"/>
      <c r="BD136" s="67"/>
      <c r="BE136" s="67"/>
      <c r="BF136" s="67"/>
      <c r="BG136" s="67"/>
      <c r="BH136" s="67"/>
      <c r="BI136" s="67"/>
      <c r="BJ136" s="67"/>
      <c r="BK136" s="67"/>
      <c r="BL136" s="67"/>
      <c r="BM136" s="70"/>
      <c r="BN136" s="70"/>
      <c r="BO136" s="70"/>
      <c r="BP136" s="70"/>
      <c r="BQ136" s="70"/>
      <c r="BR136" s="70"/>
      <c r="BS136" s="70"/>
      <c r="BT136" s="70"/>
      <c r="BU136" s="70"/>
      <c r="BV136" s="70"/>
      <c r="BW136" s="70"/>
      <c r="BX136" s="136"/>
      <c r="BY136" s="70"/>
      <c r="BZ136" s="67"/>
      <c r="CA136" s="67"/>
      <c r="CB136" s="67"/>
    </row>
    <row r="137" spans="1:80" s="28" customFormat="1" ht="16" customHeight="1">
      <c r="A137" s="39"/>
      <c r="B137" s="57"/>
      <c r="C137" s="67"/>
      <c r="D137" s="67"/>
      <c r="E137" s="39"/>
      <c r="F137" s="39"/>
      <c r="G137" s="39"/>
      <c r="H137" s="67"/>
      <c r="I137" s="60"/>
      <c r="J137" s="60"/>
      <c r="K137" s="60"/>
      <c r="L137" s="60"/>
      <c r="M137" s="60"/>
      <c r="N137" s="60"/>
      <c r="O137" s="60"/>
      <c r="P137" s="60"/>
      <c r="Q137" s="60"/>
      <c r="R137" s="60"/>
      <c r="S137" s="70"/>
      <c r="T137" s="70"/>
      <c r="U137" s="70"/>
      <c r="V137" s="70"/>
      <c r="W137" s="70"/>
      <c r="X137" s="70"/>
      <c r="Y137" s="70"/>
      <c r="Z137" s="70"/>
      <c r="AA137" s="70"/>
      <c r="AB137" s="70"/>
      <c r="AC137" s="70"/>
      <c r="AD137" s="136"/>
      <c r="AE137" s="24"/>
      <c r="AF137" s="24"/>
      <c r="AG137" s="73"/>
      <c r="AH137" s="125"/>
      <c r="AI137" s="103"/>
      <c r="AK137" s="113"/>
      <c r="AL137" s="113"/>
      <c r="AM137" s="113"/>
      <c r="AN137" s="113"/>
      <c r="AO137" s="137"/>
      <c r="AP137" s="137"/>
      <c r="AQ137" s="137"/>
      <c r="AR137" s="137"/>
      <c r="AS137" s="137"/>
      <c r="AT137" s="137"/>
      <c r="AU137" s="67"/>
      <c r="AV137" s="44"/>
      <c r="AW137" s="67"/>
      <c r="AX137" s="75"/>
      <c r="AY137" s="123"/>
      <c r="AZ137" s="67"/>
      <c r="BA137" s="138"/>
      <c r="BB137" s="67"/>
      <c r="BC137" s="67"/>
      <c r="BD137" s="67"/>
      <c r="BE137" s="67"/>
      <c r="BF137" s="67"/>
      <c r="BG137" s="67"/>
      <c r="BH137" s="67"/>
      <c r="BI137" s="67"/>
      <c r="BJ137" s="67"/>
      <c r="BK137" s="67"/>
      <c r="BL137" s="67"/>
      <c r="BM137" s="70"/>
      <c r="BN137" s="70"/>
      <c r="BO137" s="70"/>
      <c r="BP137" s="70"/>
      <c r="BQ137" s="70"/>
      <c r="BR137" s="70"/>
      <c r="BS137" s="70"/>
      <c r="BT137" s="70"/>
      <c r="BU137" s="70"/>
      <c r="BV137" s="70"/>
      <c r="BW137" s="70"/>
      <c r="BX137" s="136"/>
      <c r="BY137" s="70"/>
      <c r="BZ137" s="67"/>
      <c r="CA137" s="67"/>
      <c r="CB137" s="67"/>
    </row>
    <row r="138" spans="1:80" s="28" customFormat="1" ht="16" customHeight="1">
      <c r="A138" s="39"/>
      <c r="B138" s="57"/>
      <c r="C138" s="67"/>
      <c r="D138" s="67"/>
      <c r="E138" s="39"/>
      <c r="F138" s="39"/>
      <c r="G138" s="39"/>
      <c r="H138" s="67"/>
      <c r="I138" s="60"/>
      <c r="J138" s="60"/>
      <c r="K138" s="60"/>
      <c r="L138" s="60"/>
      <c r="M138" s="60"/>
      <c r="N138" s="60"/>
      <c r="O138" s="60"/>
      <c r="P138" s="60"/>
      <c r="Q138" s="60"/>
      <c r="R138" s="60"/>
      <c r="S138" s="70"/>
      <c r="T138" s="70"/>
      <c r="U138" s="70"/>
      <c r="V138" s="70"/>
      <c r="W138" s="70"/>
      <c r="X138" s="70"/>
      <c r="Y138" s="70"/>
      <c r="Z138" s="70"/>
      <c r="AA138" s="70"/>
      <c r="AB138" s="70"/>
      <c r="AC138" s="70"/>
      <c r="AD138" s="136"/>
      <c r="AE138" s="24"/>
      <c r="AF138" s="24"/>
      <c r="AG138" s="73"/>
      <c r="AH138" s="125"/>
      <c r="AI138" s="103"/>
      <c r="AK138" s="113"/>
      <c r="AL138" s="113"/>
      <c r="AM138" s="113"/>
      <c r="AN138" s="113"/>
      <c r="AO138" s="137"/>
      <c r="AP138" s="137"/>
      <c r="AQ138" s="137"/>
      <c r="AR138" s="137"/>
      <c r="AS138" s="137"/>
      <c r="AT138" s="137"/>
      <c r="AU138" s="67"/>
      <c r="AV138" s="44"/>
      <c r="AW138" s="67"/>
      <c r="AX138" s="75"/>
      <c r="AY138" s="123"/>
      <c r="AZ138" s="67"/>
      <c r="BA138" s="138"/>
      <c r="BB138" s="67"/>
      <c r="BC138" s="67"/>
      <c r="BD138" s="67"/>
      <c r="BE138" s="67"/>
      <c r="BF138" s="67"/>
      <c r="BG138" s="67"/>
      <c r="BH138" s="67"/>
      <c r="BI138" s="67"/>
      <c r="BJ138" s="67"/>
      <c r="BK138" s="67"/>
      <c r="BL138" s="67"/>
      <c r="BM138" s="70"/>
      <c r="BN138" s="70"/>
      <c r="BO138" s="70"/>
      <c r="BP138" s="70"/>
      <c r="BQ138" s="70"/>
      <c r="BR138" s="70"/>
      <c r="BS138" s="70"/>
      <c r="BT138" s="70"/>
      <c r="BU138" s="70"/>
      <c r="BV138" s="70"/>
      <c r="BW138" s="70"/>
      <c r="BX138" s="136"/>
      <c r="BY138" s="70"/>
      <c r="BZ138" s="67"/>
      <c r="CA138" s="67"/>
      <c r="CB138" s="67"/>
    </row>
    <row r="139" spans="1:80" s="28" customFormat="1" ht="16" customHeight="1">
      <c r="A139" s="39"/>
      <c r="B139" s="57"/>
      <c r="C139" s="67"/>
      <c r="D139" s="67"/>
      <c r="E139" s="39"/>
      <c r="F139" s="39"/>
      <c r="G139" s="39"/>
      <c r="H139" s="67"/>
      <c r="I139" s="60"/>
      <c r="J139" s="60"/>
      <c r="K139" s="60"/>
      <c r="L139" s="60"/>
      <c r="M139" s="60"/>
      <c r="N139" s="60"/>
      <c r="O139" s="60"/>
      <c r="P139" s="60"/>
      <c r="Q139" s="60"/>
      <c r="R139" s="60"/>
      <c r="S139" s="70"/>
      <c r="T139" s="70"/>
      <c r="U139" s="70"/>
      <c r="V139" s="70"/>
      <c r="W139" s="70"/>
      <c r="X139" s="70"/>
      <c r="Y139" s="70"/>
      <c r="Z139" s="70"/>
      <c r="AA139" s="70"/>
      <c r="AB139" s="70"/>
      <c r="AC139" s="70"/>
      <c r="AD139" s="136"/>
      <c r="AE139" s="24"/>
      <c r="AF139" s="24"/>
      <c r="AG139" s="73"/>
      <c r="AH139" s="125"/>
      <c r="AI139" s="103"/>
      <c r="AK139" s="113"/>
      <c r="AL139" s="113"/>
      <c r="AM139" s="113"/>
      <c r="AN139" s="113"/>
      <c r="AO139" s="137"/>
      <c r="AP139" s="137"/>
      <c r="AQ139" s="137"/>
      <c r="AR139" s="137"/>
      <c r="AS139" s="137"/>
      <c r="AT139" s="137"/>
      <c r="AU139" s="67"/>
      <c r="AV139" s="44"/>
      <c r="AW139" s="67"/>
      <c r="AX139" s="75"/>
      <c r="AY139" s="123"/>
      <c r="AZ139" s="67"/>
      <c r="BA139" s="138"/>
      <c r="BB139" s="67"/>
      <c r="BC139" s="67"/>
      <c r="BD139" s="67"/>
      <c r="BE139" s="67"/>
      <c r="BF139" s="67"/>
      <c r="BG139" s="67"/>
      <c r="BH139" s="67"/>
      <c r="BI139" s="67"/>
      <c r="BJ139" s="67"/>
      <c r="BK139" s="67"/>
      <c r="BL139" s="67"/>
      <c r="BM139" s="70"/>
      <c r="BN139" s="70"/>
      <c r="BO139" s="70"/>
      <c r="BP139" s="70"/>
      <c r="BQ139" s="70"/>
      <c r="BR139" s="70"/>
      <c r="BS139" s="70"/>
      <c r="BT139" s="70"/>
      <c r="BU139" s="70"/>
      <c r="BV139" s="70"/>
      <c r="BW139" s="70"/>
      <c r="BX139" s="136"/>
      <c r="BY139" s="70"/>
      <c r="BZ139" s="67"/>
      <c r="CA139" s="67"/>
      <c r="CB139" s="67"/>
    </row>
    <row r="140" spans="1:80" s="28" customFormat="1" ht="16" customHeight="1">
      <c r="A140" s="39"/>
      <c r="B140" s="57"/>
      <c r="C140" s="67"/>
      <c r="D140" s="67"/>
      <c r="E140" s="39"/>
      <c r="F140" s="39"/>
      <c r="G140" s="39"/>
      <c r="H140" s="67"/>
      <c r="I140" s="60"/>
      <c r="J140" s="60"/>
      <c r="K140" s="60"/>
      <c r="L140" s="60"/>
      <c r="M140" s="60"/>
      <c r="N140" s="60"/>
      <c r="O140" s="60"/>
      <c r="P140" s="60"/>
      <c r="Q140" s="60"/>
      <c r="R140" s="60"/>
      <c r="S140" s="70"/>
      <c r="T140" s="70"/>
      <c r="U140" s="70"/>
      <c r="V140" s="70"/>
      <c r="W140" s="70"/>
      <c r="X140" s="70"/>
      <c r="Y140" s="70"/>
      <c r="Z140" s="70"/>
      <c r="AA140" s="70"/>
      <c r="AB140" s="70"/>
      <c r="AC140" s="70"/>
      <c r="AD140" s="136"/>
      <c r="AE140" s="24"/>
      <c r="AF140" s="24"/>
      <c r="AG140" s="73"/>
      <c r="AH140" s="125"/>
      <c r="AI140" s="103"/>
      <c r="AK140" s="113"/>
      <c r="AL140" s="113"/>
      <c r="AM140" s="113"/>
      <c r="AN140" s="113"/>
      <c r="AO140" s="137"/>
      <c r="AP140" s="137"/>
      <c r="AQ140" s="137"/>
      <c r="AR140" s="137"/>
      <c r="AS140" s="137"/>
      <c r="AT140" s="137"/>
      <c r="AU140" s="67"/>
      <c r="AV140" s="44"/>
      <c r="AW140" s="67"/>
      <c r="AX140" s="75"/>
      <c r="AY140" s="123"/>
      <c r="AZ140" s="67"/>
      <c r="BA140" s="138"/>
      <c r="BB140" s="67"/>
      <c r="BC140" s="67"/>
      <c r="BD140" s="67"/>
      <c r="BE140" s="67"/>
      <c r="BF140" s="67"/>
      <c r="BG140" s="67"/>
      <c r="BH140" s="67"/>
      <c r="BI140" s="67"/>
      <c r="BJ140" s="67"/>
      <c r="BK140" s="67"/>
      <c r="BL140" s="67"/>
      <c r="BM140" s="70"/>
      <c r="BN140" s="70"/>
      <c r="BO140" s="70"/>
      <c r="BP140" s="70"/>
      <c r="BQ140" s="70"/>
      <c r="BR140" s="70"/>
      <c r="BS140" s="70"/>
      <c r="BT140" s="70"/>
      <c r="BU140" s="70"/>
      <c r="BV140" s="70"/>
      <c r="BW140" s="70"/>
      <c r="BX140" s="136"/>
      <c r="BY140" s="70"/>
      <c r="BZ140" s="67"/>
      <c r="CA140" s="67"/>
      <c r="CB140" s="67"/>
    </row>
    <row r="141" spans="1:80" s="28" customFormat="1" ht="16" customHeight="1">
      <c r="A141" s="39"/>
      <c r="B141" s="57"/>
      <c r="C141" s="67"/>
      <c r="D141" s="67"/>
      <c r="E141" s="39"/>
      <c r="F141" s="39"/>
      <c r="G141" s="39"/>
      <c r="H141" s="67"/>
      <c r="I141" s="60"/>
      <c r="J141" s="60"/>
      <c r="K141" s="60"/>
      <c r="L141" s="60"/>
      <c r="M141" s="60"/>
      <c r="N141" s="60"/>
      <c r="O141" s="60"/>
      <c r="P141" s="60"/>
      <c r="Q141" s="60"/>
      <c r="R141" s="60"/>
      <c r="S141" s="70"/>
      <c r="T141" s="70"/>
      <c r="U141" s="70"/>
      <c r="V141" s="70"/>
      <c r="W141" s="70"/>
      <c r="X141" s="70"/>
      <c r="Y141" s="70"/>
      <c r="Z141" s="70"/>
      <c r="AA141" s="70"/>
      <c r="AB141" s="70"/>
      <c r="AC141" s="70"/>
      <c r="AD141" s="136"/>
      <c r="AE141" s="24"/>
      <c r="AF141" s="24"/>
      <c r="AG141" s="73"/>
      <c r="AH141" s="125"/>
      <c r="AI141" s="103"/>
      <c r="AK141" s="113"/>
      <c r="AL141" s="113"/>
      <c r="AM141" s="113"/>
      <c r="AN141" s="113"/>
      <c r="AO141" s="137"/>
      <c r="AP141" s="137"/>
      <c r="AQ141" s="137"/>
      <c r="AR141" s="137"/>
      <c r="AS141" s="137"/>
      <c r="AT141" s="137"/>
      <c r="AU141" s="67"/>
      <c r="AV141" s="44"/>
      <c r="AW141" s="67"/>
      <c r="AX141" s="75"/>
      <c r="AY141" s="123"/>
      <c r="AZ141" s="67"/>
      <c r="BA141" s="138"/>
      <c r="BB141" s="67"/>
      <c r="BC141" s="67"/>
      <c r="BD141" s="67"/>
      <c r="BE141" s="67"/>
      <c r="BF141" s="67"/>
      <c r="BG141" s="67"/>
      <c r="BH141" s="67"/>
      <c r="BI141" s="67"/>
      <c r="BJ141" s="67"/>
      <c r="BK141" s="67"/>
      <c r="BL141" s="67"/>
      <c r="BM141" s="70"/>
      <c r="BN141" s="70"/>
      <c r="BO141" s="70"/>
      <c r="BP141" s="70"/>
      <c r="BQ141" s="70"/>
      <c r="BR141" s="70"/>
      <c r="BS141" s="70"/>
      <c r="BT141" s="70"/>
      <c r="BU141" s="70"/>
      <c r="BV141" s="70"/>
      <c r="BW141" s="70"/>
      <c r="BX141" s="136"/>
      <c r="BY141" s="70"/>
      <c r="BZ141" s="67"/>
      <c r="CA141" s="67"/>
      <c r="CB141" s="67"/>
    </row>
    <row r="142" spans="1:80" s="28" customFormat="1" ht="16" customHeight="1">
      <c r="A142" s="39"/>
      <c r="B142" s="57"/>
      <c r="C142" s="67"/>
      <c r="D142" s="67"/>
      <c r="E142" s="39"/>
      <c r="F142" s="39"/>
      <c r="G142" s="39"/>
      <c r="H142" s="67"/>
      <c r="I142" s="60"/>
      <c r="J142" s="60"/>
      <c r="K142" s="60"/>
      <c r="L142" s="60"/>
      <c r="M142" s="60"/>
      <c r="N142" s="60"/>
      <c r="O142" s="60"/>
      <c r="P142" s="60"/>
      <c r="Q142" s="60"/>
      <c r="R142" s="60"/>
      <c r="S142" s="70"/>
      <c r="T142" s="70"/>
      <c r="U142" s="70"/>
      <c r="V142" s="70"/>
      <c r="W142" s="70"/>
      <c r="X142" s="70"/>
      <c r="Y142" s="70"/>
      <c r="Z142" s="70"/>
      <c r="AA142" s="70"/>
      <c r="AB142" s="70"/>
      <c r="AC142" s="70"/>
      <c r="AD142" s="136"/>
      <c r="AE142" s="24"/>
      <c r="AF142" s="24"/>
      <c r="AG142" s="73"/>
      <c r="AH142" s="125"/>
      <c r="AI142" s="103"/>
      <c r="AK142" s="113"/>
      <c r="AL142" s="113"/>
      <c r="AM142" s="113"/>
      <c r="AN142" s="113"/>
      <c r="AO142" s="137"/>
      <c r="AP142" s="137"/>
      <c r="AQ142" s="137"/>
      <c r="AR142" s="137"/>
      <c r="AS142" s="137"/>
      <c r="AT142" s="137"/>
      <c r="AU142" s="67"/>
      <c r="AV142" s="44"/>
      <c r="AW142" s="67"/>
      <c r="AX142" s="75"/>
      <c r="AY142" s="123"/>
      <c r="AZ142" s="67"/>
      <c r="BA142" s="138"/>
      <c r="BB142" s="67"/>
      <c r="BC142" s="67"/>
      <c r="BD142" s="67"/>
      <c r="BE142" s="67"/>
      <c r="BF142" s="67"/>
      <c r="BG142" s="67"/>
      <c r="BH142" s="67"/>
      <c r="BI142" s="67"/>
      <c r="BJ142" s="67"/>
      <c r="BK142" s="67"/>
      <c r="BL142" s="67"/>
      <c r="BM142" s="70"/>
      <c r="BN142" s="70"/>
      <c r="BO142" s="70"/>
      <c r="BP142" s="70"/>
      <c r="BQ142" s="70"/>
      <c r="BR142" s="70"/>
      <c r="BS142" s="70"/>
      <c r="BT142" s="70"/>
      <c r="BU142" s="70"/>
      <c r="BV142" s="70"/>
      <c r="BW142" s="70"/>
      <c r="BX142" s="136"/>
      <c r="BY142" s="70"/>
      <c r="BZ142" s="67"/>
      <c r="CA142" s="67"/>
      <c r="CB142" s="67"/>
    </row>
    <row r="143" spans="1:80" s="28" customFormat="1" ht="16" customHeight="1">
      <c r="A143" s="39"/>
      <c r="B143" s="57"/>
      <c r="C143" s="67"/>
      <c r="D143" s="67"/>
      <c r="E143" s="39"/>
      <c r="F143" s="39"/>
      <c r="G143" s="39"/>
      <c r="H143" s="67"/>
      <c r="I143" s="60"/>
      <c r="J143" s="60"/>
      <c r="K143" s="60"/>
      <c r="L143" s="60"/>
      <c r="M143" s="60"/>
      <c r="N143" s="60"/>
      <c r="O143" s="60"/>
      <c r="P143" s="60"/>
      <c r="Q143" s="60"/>
      <c r="R143" s="60"/>
      <c r="S143" s="70"/>
      <c r="T143" s="70"/>
      <c r="U143" s="70"/>
      <c r="V143" s="70"/>
      <c r="W143" s="70"/>
      <c r="X143" s="70"/>
      <c r="Y143" s="70"/>
      <c r="Z143" s="70"/>
      <c r="AA143" s="70"/>
      <c r="AB143" s="70"/>
      <c r="AC143" s="70"/>
      <c r="AD143" s="136"/>
      <c r="AE143" s="24"/>
      <c r="AF143" s="24"/>
      <c r="AG143" s="73"/>
      <c r="AH143" s="125"/>
      <c r="AI143" s="103"/>
      <c r="AK143" s="113"/>
      <c r="AL143" s="113"/>
      <c r="AM143" s="113"/>
      <c r="AN143" s="113"/>
      <c r="AO143" s="137"/>
      <c r="AP143" s="137"/>
      <c r="AQ143" s="137"/>
      <c r="AR143" s="137"/>
      <c r="AS143" s="137"/>
      <c r="AT143" s="137"/>
      <c r="AU143" s="67"/>
      <c r="AV143" s="44"/>
      <c r="AW143" s="67"/>
      <c r="AX143" s="75"/>
      <c r="AY143" s="123"/>
      <c r="AZ143" s="67"/>
      <c r="BA143" s="138"/>
      <c r="BB143" s="67"/>
      <c r="BC143" s="67"/>
      <c r="BD143" s="67"/>
      <c r="BE143" s="67"/>
      <c r="BF143" s="67"/>
      <c r="BG143" s="67"/>
      <c r="BH143" s="67"/>
      <c r="BI143" s="67"/>
      <c r="BJ143" s="67"/>
      <c r="BK143" s="67"/>
      <c r="BL143" s="67"/>
      <c r="BM143" s="70"/>
      <c r="BN143" s="70"/>
      <c r="BO143" s="70"/>
      <c r="BP143" s="70"/>
      <c r="BQ143" s="70"/>
      <c r="BR143" s="70"/>
      <c r="BS143" s="70"/>
      <c r="BT143" s="70"/>
      <c r="BU143" s="70"/>
      <c r="BV143" s="70"/>
      <c r="BW143" s="70"/>
      <c r="BX143" s="136"/>
      <c r="BY143" s="70"/>
      <c r="BZ143" s="67"/>
      <c r="CA143" s="67"/>
      <c r="CB143" s="67"/>
    </row>
    <row r="144" spans="1:80" s="28" customFormat="1" ht="16" customHeight="1">
      <c r="A144" s="39"/>
      <c r="B144" s="57"/>
      <c r="C144" s="67"/>
      <c r="D144" s="67"/>
      <c r="E144" s="39"/>
      <c r="F144" s="39"/>
      <c r="G144" s="39"/>
      <c r="H144" s="67"/>
      <c r="I144" s="60"/>
      <c r="J144" s="60"/>
      <c r="K144" s="60"/>
      <c r="L144" s="60"/>
      <c r="M144" s="60"/>
      <c r="N144" s="60"/>
      <c r="O144" s="60"/>
      <c r="P144" s="60"/>
      <c r="Q144" s="60"/>
      <c r="R144" s="60"/>
      <c r="S144" s="70"/>
      <c r="T144" s="70"/>
      <c r="U144" s="70"/>
      <c r="V144" s="70"/>
      <c r="W144" s="70"/>
      <c r="X144" s="70"/>
      <c r="Y144" s="70"/>
      <c r="Z144" s="70"/>
      <c r="AA144" s="70"/>
      <c r="AB144" s="70"/>
      <c r="AC144" s="70"/>
      <c r="AD144" s="136"/>
      <c r="AE144" s="24"/>
      <c r="AF144" s="24"/>
      <c r="AG144" s="73"/>
      <c r="AH144" s="125"/>
      <c r="AI144" s="103"/>
      <c r="AK144" s="113"/>
      <c r="AL144" s="113"/>
      <c r="AM144" s="113"/>
      <c r="AN144" s="113"/>
      <c r="AO144" s="137"/>
      <c r="AP144" s="137"/>
      <c r="AQ144" s="137"/>
      <c r="AR144" s="137"/>
      <c r="AS144" s="137"/>
      <c r="AT144" s="137"/>
      <c r="AU144" s="67"/>
      <c r="AV144" s="44"/>
      <c r="AW144" s="67"/>
      <c r="AX144" s="75"/>
      <c r="AY144" s="123"/>
      <c r="AZ144" s="67"/>
      <c r="BA144" s="138"/>
      <c r="BB144" s="67"/>
      <c r="BC144" s="67"/>
      <c r="BD144" s="67"/>
      <c r="BE144" s="67"/>
      <c r="BF144" s="67"/>
      <c r="BG144" s="67"/>
      <c r="BH144" s="67"/>
      <c r="BI144" s="67"/>
      <c r="BJ144" s="67"/>
      <c r="BK144" s="67"/>
      <c r="BL144" s="67"/>
      <c r="BM144" s="70"/>
      <c r="BN144" s="70"/>
      <c r="BO144" s="70"/>
      <c r="BP144" s="70"/>
      <c r="BQ144" s="70"/>
      <c r="BR144" s="70"/>
      <c r="BS144" s="70"/>
      <c r="BT144" s="70"/>
      <c r="BU144" s="70"/>
      <c r="BV144" s="70"/>
      <c r="BW144" s="70"/>
      <c r="BX144" s="136"/>
      <c r="BY144" s="70"/>
      <c r="BZ144" s="67"/>
      <c r="CA144" s="67"/>
      <c r="CB144" s="67"/>
    </row>
    <row r="145" spans="1:80" s="28" customFormat="1" ht="16" customHeight="1">
      <c r="A145" s="39"/>
      <c r="B145" s="57"/>
      <c r="C145" s="67"/>
      <c r="D145" s="67"/>
      <c r="E145" s="39"/>
      <c r="F145" s="39"/>
      <c r="G145" s="39"/>
      <c r="H145" s="67"/>
      <c r="I145" s="60"/>
      <c r="J145" s="60"/>
      <c r="K145" s="60"/>
      <c r="L145" s="60"/>
      <c r="M145" s="60"/>
      <c r="N145" s="60"/>
      <c r="O145" s="60"/>
      <c r="P145" s="60"/>
      <c r="Q145" s="60"/>
      <c r="R145" s="60"/>
      <c r="S145" s="70"/>
      <c r="T145" s="70"/>
      <c r="U145" s="70"/>
      <c r="V145" s="70"/>
      <c r="W145" s="70"/>
      <c r="X145" s="70"/>
      <c r="Y145" s="70"/>
      <c r="Z145" s="70"/>
      <c r="AA145" s="70"/>
      <c r="AB145" s="70"/>
      <c r="AC145" s="70"/>
      <c r="AD145" s="136"/>
      <c r="AE145" s="24"/>
      <c r="AF145" s="24"/>
      <c r="AG145" s="73"/>
      <c r="AH145" s="125"/>
      <c r="AI145" s="103"/>
      <c r="AK145" s="113"/>
      <c r="AL145" s="113"/>
      <c r="AM145" s="113"/>
      <c r="AN145" s="113"/>
      <c r="AO145" s="137"/>
      <c r="AP145" s="137"/>
      <c r="AQ145" s="137"/>
      <c r="AR145" s="137"/>
      <c r="AS145" s="137"/>
      <c r="AT145" s="137"/>
      <c r="AU145" s="67"/>
      <c r="AV145" s="44"/>
      <c r="AW145" s="67"/>
      <c r="AX145" s="75"/>
      <c r="AY145" s="123"/>
      <c r="AZ145" s="67"/>
      <c r="BA145" s="138"/>
      <c r="BB145" s="67"/>
      <c r="BC145" s="67"/>
      <c r="BD145" s="67"/>
      <c r="BE145" s="67"/>
      <c r="BF145" s="67"/>
      <c r="BG145" s="67"/>
      <c r="BH145" s="67"/>
      <c r="BI145" s="67"/>
      <c r="BJ145" s="67"/>
      <c r="BK145" s="67"/>
      <c r="BL145" s="67"/>
      <c r="BM145" s="70"/>
      <c r="BN145" s="70"/>
      <c r="BO145" s="70"/>
      <c r="BP145" s="70"/>
      <c r="BQ145" s="70"/>
      <c r="BR145" s="70"/>
      <c r="BS145" s="70"/>
      <c r="BT145" s="70"/>
      <c r="BU145" s="70"/>
      <c r="BV145" s="70"/>
      <c r="BW145" s="70"/>
      <c r="BX145" s="136"/>
      <c r="BY145" s="70"/>
      <c r="BZ145" s="67"/>
      <c r="CA145" s="67"/>
      <c r="CB145" s="67"/>
    </row>
    <row r="146" spans="1:80" s="28" customFormat="1" ht="16" customHeight="1">
      <c r="A146" s="39"/>
      <c r="B146" s="57"/>
      <c r="C146" s="67"/>
      <c r="D146" s="67"/>
      <c r="E146" s="39"/>
      <c r="F146" s="39"/>
      <c r="G146" s="39"/>
      <c r="H146" s="67"/>
      <c r="I146" s="60"/>
      <c r="J146" s="60"/>
      <c r="K146" s="60"/>
      <c r="L146" s="60"/>
      <c r="M146" s="60"/>
      <c r="N146" s="60"/>
      <c r="O146" s="60"/>
      <c r="P146" s="60"/>
      <c r="Q146" s="60"/>
      <c r="R146" s="60"/>
      <c r="S146" s="70"/>
      <c r="T146" s="70"/>
      <c r="U146" s="70"/>
      <c r="V146" s="70"/>
      <c r="W146" s="70"/>
      <c r="X146" s="70"/>
      <c r="Y146" s="70"/>
      <c r="Z146" s="70"/>
      <c r="AA146" s="70"/>
      <c r="AB146" s="70"/>
      <c r="AC146" s="70"/>
      <c r="AD146" s="136"/>
      <c r="AE146" s="24"/>
      <c r="AF146" s="24"/>
      <c r="AG146" s="73"/>
      <c r="AH146" s="125"/>
      <c r="AI146" s="103"/>
      <c r="AK146" s="113"/>
      <c r="AL146" s="113"/>
      <c r="AM146" s="113"/>
      <c r="AN146" s="113"/>
      <c r="AO146" s="137"/>
      <c r="AP146" s="137"/>
      <c r="AQ146" s="137"/>
      <c r="AR146" s="137"/>
      <c r="AS146" s="137"/>
      <c r="AT146" s="137"/>
      <c r="AU146" s="67"/>
      <c r="AV146" s="44"/>
      <c r="AW146" s="67"/>
      <c r="AX146" s="75"/>
      <c r="AY146" s="123"/>
      <c r="AZ146" s="67"/>
      <c r="BA146" s="138"/>
      <c r="BB146" s="67"/>
      <c r="BC146" s="67"/>
      <c r="BD146" s="67"/>
      <c r="BE146" s="67"/>
      <c r="BF146" s="67"/>
      <c r="BG146" s="67"/>
      <c r="BH146" s="67"/>
      <c r="BI146" s="67"/>
      <c r="BJ146" s="67"/>
      <c r="BK146" s="67"/>
      <c r="BL146" s="67"/>
      <c r="BM146" s="70"/>
      <c r="BN146" s="70"/>
      <c r="BO146" s="70"/>
      <c r="BP146" s="70"/>
      <c r="BQ146" s="70"/>
      <c r="BR146" s="70"/>
      <c r="BS146" s="70"/>
      <c r="BT146" s="70"/>
      <c r="BU146" s="70"/>
      <c r="BV146" s="70"/>
      <c r="BW146" s="70"/>
      <c r="BX146" s="136"/>
      <c r="BY146" s="70"/>
      <c r="BZ146" s="67"/>
      <c r="CA146" s="67"/>
      <c r="CB146" s="67"/>
    </row>
    <row r="147" spans="1:80" s="28" customFormat="1" ht="16" customHeight="1">
      <c r="A147" s="39"/>
      <c r="B147" s="57"/>
      <c r="C147" s="67"/>
      <c r="D147" s="67"/>
      <c r="E147" s="39"/>
      <c r="F147" s="39"/>
      <c r="G147" s="39"/>
      <c r="H147" s="67"/>
      <c r="I147" s="60"/>
      <c r="J147" s="60"/>
      <c r="K147" s="60"/>
      <c r="L147" s="60"/>
      <c r="M147" s="60"/>
      <c r="N147" s="60"/>
      <c r="O147" s="60"/>
      <c r="P147" s="60"/>
      <c r="Q147" s="60"/>
      <c r="R147" s="60"/>
      <c r="S147" s="70"/>
      <c r="T147" s="70"/>
      <c r="U147" s="70"/>
      <c r="V147" s="70"/>
      <c r="W147" s="70"/>
      <c r="X147" s="70"/>
      <c r="Y147" s="70"/>
      <c r="Z147" s="70"/>
      <c r="AA147" s="70"/>
      <c r="AB147" s="70"/>
      <c r="AC147" s="70"/>
      <c r="AD147" s="136"/>
      <c r="AE147" s="24"/>
      <c r="AF147" s="24"/>
      <c r="AG147" s="73"/>
      <c r="AH147" s="125"/>
      <c r="AI147" s="103"/>
      <c r="AK147" s="113"/>
      <c r="AL147" s="113"/>
      <c r="AM147" s="113"/>
      <c r="AN147" s="113"/>
      <c r="AO147" s="137"/>
      <c r="AP147" s="137"/>
      <c r="AQ147" s="137"/>
      <c r="AR147" s="137"/>
      <c r="AS147" s="137"/>
      <c r="AT147" s="137"/>
      <c r="AU147" s="67"/>
      <c r="AV147" s="44"/>
      <c r="AW147" s="67"/>
      <c r="AX147" s="75"/>
      <c r="AY147" s="123"/>
      <c r="AZ147" s="67"/>
      <c r="BA147" s="138"/>
      <c r="BB147" s="67"/>
      <c r="BC147" s="67"/>
      <c r="BD147" s="67"/>
      <c r="BE147" s="67"/>
      <c r="BF147" s="67"/>
      <c r="BG147" s="67"/>
      <c r="BH147" s="67"/>
      <c r="BI147" s="67"/>
      <c r="BJ147" s="67"/>
      <c r="BK147" s="67"/>
      <c r="BL147" s="67"/>
      <c r="BM147" s="70"/>
      <c r="BN147" s="70"/>
      <c r="BO147" s="70"/>
      <c r="BP147" s="70"/>
      <c r="BQ147" s="70"/>
      <c r="BR147" s="70"/>
      <c r="BS147" s="70"/>
      <c r="BT147" s="70"/>
      <c r="BU147" s="70"/>
      <c r="BV147" s="70"/>
      <c r="BW147" s="70"/>
      <c r="BX147" s="136"/>
      <c r="BY147" s="70"/>
      <c r="BZ147" s="67"/>
      <c r="CA147" s="67"/>
      <c r="CB147" s="67"/>
    </row>
    <row r="148" spans="1:80" s="28" customFormat="1" ht="16" customHeight="1">
      <c r="A148" s="39"/>
      <c r="B148" s="57"/>
      <c r="C148" s="67"/>
      <c r="D148" s="67"/>
      <c r="E148" s="39"/>
      <c r="F148" s="39"/>
      <c r="G148" s="39"/>
      <c r="H148" s="67"/>
      <c r="I148" s="60"/>
      <c r="J148" s="60"/>
      <c r="K148" s="60"/>
      <c r="L148" s="60"/>
      <c r="M148" s="60"/>
      <c r="N148" s="60"/>
      <c r="O148" s="60"/>
      <c r="P148" s="60"/>
      <c r="Q148" s="60"/>
      <c r="R148" s="60"/>
      <c r="S148" s="70"/>
      <c r="T148" s="70"/>
      <c r="U148" s="70"/>
      <c r="V148" s="70"/>
      <c r="W148" s="70"/>
      <c r="X148" s="70"/>
      <c r="Y148" s="70"/>
      <c r="Z148" s="70"/>
      <c r="AA148" s="70"/>
      <c r="AB148" s="70"/>
      <c r="AC148" s="70"/>
      <c r="AD148" s="136"/>
      <c r="AE148" s="24"/>
      <c r="AF148" s="24"/>
      <c r="AG148" s="73"/>
      <c r="AH148" s="125"/>
      <c r="AI148" s="103"/>
      <c r="AK148" s="113"/>
      <c r="AL148" s="113"/>
      <c r="AM148" s="113"/>
      <c r="AN148" s="113"/>
      <c r="AO148" s="137"/>
      <c r="AP148" s="137"/>
      <c r="AQ148" s="137"/>
      <c r="AR148" s="137"/>
      <c r="AS148" s="137"/>
      <c r="AT148" s="137"/>
      <c r="AU148" s="67"/>
      <c r="AV148" s="44"/>
      <c r="AW148" s="67"/>
      <c r="AX148" s="75"/>
      <c r="AY148" s="123"/>
      <c r="AZ148" s="67"/>
      <c r="BA148" s="138"/>
      <c r="BB148" s="67"/>
      <c r="BC148" s="67"/>
      <c r="BD148" s="67"/>
      <c r="BE148" s="67"/>
      <c r="BF148" s="67"/>
      <c r="BG148" s="67"/>
      <c r="BH148" s="67"/>
      <c r="BI148" s="67"/>
      <c r="BJ148" s="67"/>
      <c r="BK148" s="67"/>
      <c r="BL148" s="67"/>
      <c r="BM148" s="70"/>
      <c r="BN148" s="70"/>
      <c r="BO148" s="70"/>
      <c r="BP148" s="70"/>
      <c r="BQ148" s="70"/>
      <c r="BR148" s="70"/>
      <c r="BS148" s="70"/>
      <c r="BT148" s="70"/>
      <c r="BU148" s="70"/>
      <c r="BV148" s="70"/>
      <c r="BW148" s="70"/>
      <c r="BX148" s="136"/>
      <c r="BY148" s="70"/>
      <c r="BZ148" s="67"/>
      <c r="CA148" s="67"/>
      <c r="CB148" s="67"/>
    </row>
    <row r="149" spans="1:80" s="28" customFormat="1" ht="16" customHeight="1">
      <c r="A149" s="39"/>
      <c r="B149" s="57"/>
      <c r="C149" s="67"/>
      <c r="D149" s="67"/>
      <c r="E149" s="39"/>
      <c r="F149" s="39"/>
      <c r="G149" s="39"/>
      <c r="H149" s="67"/>
      <c r="I149" s="60"/>
      <c r="J149" s="60"/>
      <c r="K149" s="60"/>
      <c r="L149" s="60"/>
      <c r="M149" s="60"/>
      <c r="N149" s="60"/>
      <c r="O149" s="60"/>
      <c r="P149" s="60"/>
      <c r="Q149" s="60"/>
      <c r="R149" s="60"/>
      <c r="S149" s="70"/>
      <c r="T149" s="70"/>
      <c r="U149" s="70"/>
      <c r="V149" s="70"/>
      <c r="W149" s="70"/>
      <c r="X149" s="70"/>
      <c r="Y149" s="70"/>
      <c r="Z149" s="70"/>
      <c r="AA149" s="70"/>
      <c r="AB149" s="70"/>
      <c r="AC149" s="70"/>
      <c r="AD149" s="136"/>
      <c r="AE149" s="24"/>
      <c r="AF149" s="24"/>
      <c r="AG149" s="73"/>
      <c r="AH149" s="125"/>
      <c r="AI149" s="103"/>
      <c r="AK149" s="113"/>
      <c r="AL149" s="113"/>
      <c r="AM149" s="113"/>
      <c r="AN149" s="113"/>
      <c r="AO149" s="137"/>
      <c r="AP149" s="137"/>
      <c r="AQ149" s="137"/>
      <c r="AR149" s="137"/>
      <c r="AS149" s="137"/>
      <c r="AT149" s="137"/>
      <c r="AU149" s="67"/>
      <c r="AV149" s="44"/>
      <c r="AW149" s="67"/>
      <c r="AX149" s="75"/>
      <c r="AY149" s="123"/>
      <c r="AZ149" s="67"/>
      <c r="BA149" s="138"/>
      <c r="BB149" s="67"/>
      <c r="BC149" s="67"/>
      <c r="BD149" s="67"/>
      <c r="BE149" s="67"/>
      <c r="BF149" s="67"/>
      <c r="BG149" s="67"/>
      <c r="BH149" s="67"/>
      <c r="BI149" s="67"/>
      <c r="BJ149" s="67"/>
      <c r="BK149" s="67"/>
      <c r="BL149" s="67"/>
      <c r="BM149" s="70"/>
      <c r="BN149" s="70"/>
      <c r="BO149" s="70"/>
      <c r="BP149" s="70"/>
      <c r="BQ149" s="70"/>
      <c r="BR149" s="70"/>
      <c r="BS149" s="70"/>
      <c r="BT149" s="70"/>
      <c r="BU149" s="70"/>
      <c r="BV149" s="70"/>
      <c r="BW149" s="70"/>
      <c r="BX149" s="136"/>
      <c r="BY149" s="70"/>
      <c r="BZ149" s="67"/>
      <c r="CA149" s="67"/>
      <c r="CB149" s="67"/>
    </row>
    <row r="150" spans="1:80" s="28" customFormat="1" ht="16" customHeight="1">
      <c r="A150" s="39"/>
      <c r="B150" s="57"/>
      <c r="C150" s="67"/>
      <c r="D150" s="67"/>
      <c r="E150" s="39"/>
      <c r="F150" s="39"/>
      <c r="G150" s="39"/>
      <c r="H150" s="67"/>
      <c r="I150" s="60"/>
      <c r="J150" s="60"/>
      <c r="K150" s="60"/>
      <c r="L150" s="60"/>
      <c r="M150" s="60"/>
      <c r="N150" s="60"/>
      <c r="O150" s="60"/>
      <c r="P150" s="60"/>
      <c r="Q150" s="60"/>
      <c r="R150" s="60"/>
      <c r="S150" s="70"/>
      <c r="T150" s="70"/>
      <c r="U150" s="70"/>
      <c r="V150" s="70"/>
      <c r="W150" s="70"/>
      <c r="X150" s="70"/>
      <c r="Y150" s="70"/>
      <c r="Z150" s="70"/>
      <c r="AA150" s="70"/>
      <c r="AB150" s="70"/>
      <c r="AC150" s="70"/>
      <c r="AD150" s="136"/>
      <c r="AE150" s="24"/>
      <c r="AF150" s="24"/>
      <c r="AG150" s="73"/>
      <c r="AH150" s="125"/>
      <c r="AI150" s="103"/>
      <c r="AK150" s="113"/>
      <c r="AL150" s="113"/>
      <c r="AM150" s="113"/>
      <c r="AN150" s="113"/>
      <c r="AO150" s="137"/>
      <c r="AP150" s="137"/>
      <c r="AQ150" s="137"/>
      <c r="AR150" s="137"/>
      <c r="AS150" s="137"/>
      <c r="AT150" s="137"/>
      <c r="AU150" s="67"/>
      <c r="AV150" s="44"/>
      <c r="AW150" s="67"/>
      <c r="AX150" s="75"/>
      <c r="AY150" s="123"/>
      <c r="AZ150" s="67"/>
      <c r="BA150" s="138"/>
      <c r="BB150" s="67"/>
      <c r="BC150" s="67"/>
      <c r="BD150" s="67"/>
      <c r="BE150" s="67"/>
      <c r="BF150" s="67"/>
      <c r="BG150" s="67"/>
      <c r="BH150" s="67"/>
      <c r="BI150" s="67"/>
      <c r="BJ150" s="67"/>
      <c r="BK150" s="67"/>
      <c r="BL150" s="67"/>
      <c r="BM150" s="70"/>
      <c r="BN150" s="70"/>
      <c r="BO150" s="70"/>
      <c r="BP150" s="70"/>
      <c r="BQ150" s="70"/>
      <c r="BR150" s="70"/>
      <c r="BS150" s="70"/>
      <c r="BT150" s="70"/>
      <c r="BU150" s="70"/>
      <c r="BV150" s="70"/>
      <c r="BW150" s="70"/>
      <c r="BX150" s="136"/>
      <c r="BY150" s="70"/>
      <c r="BZ150" s="67"/>
      <c r="CA150" s="67"/>
      <c r="CB150" s="67"/>
    </row>
    <row r="151" spans="1:80" s="28" customFormat="1" ht="16" customHeight="1">
      <c r="A151" s="39"/>
      <c r="B151" s="57"/>
      <c r="C151" s="67"/>
      <c r="D151" s="67"/>
      <c r="E151" s="39"/>
      <c r="F151" s="39"/>
      <c r="G151" s="39"/>
      <c r="H151" s="67"/>
      <c r="I151" s="60"/>
      <c r="J151" s="60"/>
      <c r="K151" s="60"/>
      <c r="L151" s="60"/>
      <c r="M151" s="60"/>
      <c r="N151" s="60"/>
      <c r="O151" s="60"/>
      <c r="P151" s="60"/>
      <c r="Q151" s="60"/>
      <c r="R151" s="60"/>
      <c r="S151" s="70"/>
      <c r="T151" s="70"/>
      <c r="U151" s="70"/>
      <c r="V151" s="70"/>
      <c r="W151" s="70"/>
      <c r="X151" s="70"/>
      <c r="Y151" s="70"/>
      <c r="Z151" s="70"/>
      <c r="AA151" s="70"/>
      <c r="AB151" s="70"/>
      <c r="AC151" s="70"/>
      <c r="AD151" s="136"/>
      <c r="AE151" s="24"/>
      <c r="AF151" s="24"/>
      <c r="AG151" s="73"/>
      <c r="AH151" s="125"/>
      <c r="AI151" s="103"/>
      <c r="AK151" s="113"/>
      <c r="AL151" s="113"/>
      <c r="AM151" s="113"/>
      <c r="AN151" s="113"/>
      <c r="AO151" s="137"/>
      <c r="AP151" s="137"/>
      <c r="AQ151" s="137"/>
      <c r="AR151" s="137"/>
      <c r="AS151" s="137"/>
      <c r="AT151" s="137"/>
      <c r="AU151" s="67"/>
      <c r="AV151" s="44"/>
      <c r="AW151" s="67"/>
      <c r="AX151" s="75"/>
      <c r="AY151" s="123"/>
      <c r="AZ151" s="67"/>
      <c r="BA151" s="138"/>
      <c r="BB151" s="67"/>
      <c r="BC151" s="67"/>
      <c r="BD151" s="67"/>
      <c r="BE151" s="67"/>
      <c r="BF151" s="67"/>
      <c r="BG151" s="67"/>
      <c r="BH151" s="67"/>
      <c r="BI151" s="67"/>
      <c r="BJ151" s="67"/>
      <c r="BK151" s="67"/>
      <c r="BL151" s="67"/>
      <c r="BM151" s="70"/>
      <c r="BN151" s="70"/>
      <c r="BO151" s="70"/>
      <c r="BP151" s="70"/>
      <c r="BQ151" s="70"/>
      <c r="BR151" s="70"/>
      <c r="BS151" s="70"/>
      <c r="BT151" s="70"/>
      <c r="BU151" s="70"/>
      <c r="BV151" s="70"/>
      <c r="BW151" s="70"/>
      <c r="BX151" s="136"/>
      <c r="BY151" s="70"/>
      <c r="BZ151" s="67"/>
      <c r="CA151" s="67"/>
      <c r="CB151" s="67"/>
    </row>
    <row r="152" spans="1:80" s="28" customFormat="1" ht="16" customHeight="1">
      <c r="A152" s="39"/>
      <c r="B152" s="57"/>
      <c r="C152" s="67"/>
      <c r="D152" s="67"/>
      <c r="E152" s="39"/>
      <c r="F152" s="39"/>
      <c r="G152" s="39"/>
      <c r="H152" s="67"/>
      <c r="I152" s="60"/>
      <c r="J152" s="60"/>
      <c r="K152" s="60"/>
      <c r="L152" s="60"/>
      <c r="M152" s="60"/>
      <c r="N152" s="60"/>
      <c r="O152" s="60"/>
      <c r="P152" s="60"/>
      <c r="Q152" s="60"/>
      <c r="R152" s="60"/>
      <c r="S152" s="70"/>
      <c r="T152" s="70"/>
      <c r="U152" s="70"/>
      <c r="V152" s="70"/>
      <c r="W152" s="70"/>
      <c r="X152" s="70"/>
      <c r="Y152" s="70"/>
      <c r="Z152" s="70"/>
      <c r="AA152" s="70"/>
      <c r="AB152" s="70"/>
      <c r="AC152" s="70"/>
      <c r="AD152" s="136"/>
      <c r="AE152" s="24"/>
      <c r="AF152" s="24"/>
      <c r="AG152" s="73"/>
      <c r="AH152" s="125"/>
      <c r="AI152" s="103"/>
      <c r="AK152" s="113"/>
      <c r="AL152" s="113"/>
      <c r="AM152" s="113"/>
      <c r="AN152" s="113"/>
      <c r="AO152" s="137"/>
      <c r="AP152" s="137"/>
      <c r="AQ152" s="137"/>
      <c r="AR152" s="137"/>
      <c r="AS152" s="137"/>
      <c r="AT152" s="137"/>
      <c r="AU152" s="67"/>
      <c r="AV152" s="44"/>
      <c r="AW152" s="67"/>
      <c r="AX152" s="75"/>
      <c r="AY152" s="123"/>
      <c r="AZ152" s="67"/>
      <c r="BA152" s="138"/>
      <c r="BB152" s="67"/>
      <c r="BC152" s="67"/>
      <c r="BD152" s="67"/>
      <c r="BE152" s="67"/>
      <c r="BF152" s="67"/>
      <c r="BG152" s="67"/>
      <c r="BH152" s="67"/>
      <c r="BI152" s="67"/>
      <c r="BJ152" s="67"/>
      <c r="BK152" s="67"/>
      <c r="BL152" s="67"/>
      <c r="BM152" s="70"/>
      <c r="BN152" s="70"/>
      <c r="BO152" s="70"/>
      <c r="BP152" s="70"/>
      <c r="BQ152" s="70"/>
      <c r="BR152" s="70"/>
      <c r="BS152" s="70"/>
      <c r="BT152" s="70"/>
      <c r="BU152" s="70"/>
      <c r="BV152" s="70"/>
      <c r="BW152" s="70"/>
      <c r="BX152" s="136"/>
      <c r="BY152" s="70"/>
      <c r="BZ152" s="67"/>
      <c r="CA152" s="67"/>
      <c r="CB152" s="67"/>
    </row>
    <row r="153" spans="1:80" s="28" customFormat="1" ht="16" customHeight="1">
      <c r="A153" s="39"/>
      <c r="B153" s="57"/>
      <c r="C153" s="67"/>
      <c r="D153" s="67"/>
      <c r="E153" s="39"/>
      <c r="F153" s="39"/>
      <c r="G153" s="39"/>
      <c r="H153" s="67"/>
      <c r="I153" s="60"/>
      <c r="J153" s="60"/>
      <c r="K153" s="60"/>
      <c r="L153" s="60"/>
      <c r="M153" s="60"/>
      <c r="N153" s="60"/>
      <c r="O153" s="60"/>
      <c r="P153" s="60"/>
      <c r="Q153" s="60"/>
      <c r="R153" s="60"/>
      <c r="S153" s="70"/>
      <c r="T153" s="70"/>
      <c r="U153" s="70"/>
      <c r="V153" s="70"/>
      <c r="W153" s="70"/>
      <c r="X153" s="70"/>
      <c r="Y153" s="70"/>
      <c r="Z153" s="70"/>
      <c r="AA153" s="70"/>
      <c r="AB153" s="70"/>
      <c r="AC153" s="70"/>
      <c r="AD153" s="136"/>
      <c r="AE153" s="24"/>
      <c r="AF153" s="24"/>
      <c r="AG153" s="73"/>
      <c r="AH153" s="125"/>
      <c r="AI153" s="103"/>
      <c r="AK153" s="113"/>
      <c r="AL153" s="113"/>
      <c r="AM153" s="113"/>
      <c r="AN153" s="113"/>
      <c r="AO153" s="137"/>
      <c r="AP153" s="137"/>
      <c r="AQ153" s="137"/>
      <c r="AR153" s="137"/>
      <c r="AS153" s="137"/>
      <c r="AT153" s="137"/>
      <c r="AU153" s="67"/>
      <c r="AV153" s="44"/>
      <c r="AW153" s="67"/>
      <c r="AX153" s="75"/>
      <c r="AY153" s="123"/>
      <c r="AZ153" s="67"/>
      <c r="BA153" s="138"/>
      <c r="BB153" s="67"/>
      <c r="BC153" s="67"/>
      <c r="BD153" s="67"/>
      <c r="BE153" s="67"/>
      <c r="BF153" s="67"/>
      <c r="BG153" s="67"/>
      <c r="BH153" s="67"/>
      <c r="BI153" s="67"/>
      <c r="BJ153" s="67"/>
      <c r="BK153" s="67"/>
      <c r="BL153" s="67"/>
      <c r="BM153" s="70"/>
      <c r="BN153" s="70"/>
      <c r="BO153" s="70"/>
      <c r="BP153" s="70"/>
      <c r="BQ153" s="70"/>
      <c r="BR153" s="70"/>
      <c r="BS153" s="70"/>
      <c r="BT153" s="70"/>
      <c r="BU153" s="70"/>
      <c r="BV153" s="70"/>
      <c r="BW153" s="70"/>
      <c r="BX153" s="136"/>
      <c r="BY153" s="70"/>
      <c r="BZ153" s="67"/>
      <c r="CA153" s="67"/>
      <c r="CB153" s="67"/>
    </row>
    <row r="154" spans="1:80" s="28" customFormat="1" ht="16" customHeight="1">
      <c r="A154" s="39"/>
      <c r="B154" s="57"/>
      <c r="C154" s="67"/>
      <c r="D154" s="67"/>
      <c r="E154" s="39"/>
      <c r="F154" s="39"/>
      <c r="G154" s="39"/>
      <c r="H154" s="67"/>
      <c r="I154" s="60"/>
      <c r="J154" s="60"/>
      <c r="K154" s="60"/>
      <c r="L154" s="60"/>
      <c r="M154" s="60"/>
      <c r="N154" s="60"/>
      <c r="O154" s="60"/>
      <c r="P154" s="60"/>
      <c r="Q154" s="60"/>
      <c r="R154" s="60"/>
      <c r="S154" s="70"/>
      <c r="T154" s="70"/>
      <c r="U154" s="70"/>
      <c r="V154" s="70"/>
      <c r="W154" s="70"/>
      <c r="X154" s="70"/>
      <c r="Y154" s="70"/>
      <c r="Z154" s="70"/>
      <c r="AA154" s="70"/>
      <c r="AB154" s="70"/>
      <c r="AC154" s="70"/>
      <c r="AD154" s="136"/>
      <c r="AE154" s="24"/>
      <c r="AF154" s="24"/>
      <c r="AG154" s="73"/>
      <c r="AH154" s="125"/>
      <c r="AI154" s="103"/>
      <c r="AK154" s="113"/>
      <c r="AL154" s="113"/>
      <c r="AM154" s="113"/>
      <c r="AN154" s="113"/>
      <c r="AO154" s="137"/>
      <c r="AP154" s="137"/>
      <c r="AQ154" s="137"/>
      <c r="AR154" s="137"/>
      <c r="AS154" s="137"/>
      <c r="AT154" s="137"/>
      <c r="AU154" s="67"/>
      <c r="AV154" s="44"/>
      <c r="AW154" s="67"/>
      <c r="AX154" s="75"/>
      <c r="AY154" s="123"/>
      <c r="AZ154" s="67"/>
      <c r="BA154" s="138"/>
      <c r="BB154" s="67"/>
      <c r="BC154" s="67"/>
      <c r="BD154" s="67"/>
      <c r="BE154" s="67"/>
      <c r="BF154" s="67"/>
      <c r="BG154" s="67"/>
      <c r="BH154" s="67"/>
      <c r="BI154" s="67"/>
      <c r="BJ154" s="67"/>
      <c r="BK154" s="67"/>
      <c r="BL154" s="67"/>
      <c r="BM154" s="70"/>
      <c r="BN154" s="70"/>
      <c r="BO154" s="70"/>
      <c r="BP154" s="70"/>
      <c r="BQ154" s="70"/>
      <c r="BR154" s="70"/>
      <c r="BS154" s="70"/>
      <c r="BT154" s="70"/>
      <c r="BU154" s="70"/>
      <c r="BV154" s="70"/>
      <c r="BW154" s="70"/>
      <c r="BX154" s="136"/>
      <c r="BY154" s="70"/>
      <c r="BZ154" s="67"/>
      <c r="CA154" s="67"/>
      <c r="CB154" s="67"/>
    </row>
    <row r="155" spans="1:80" s="28" customFormat="1" ht="16" customHeight="1">
      <c r="A155" s="39"/>
      <c r="B155" s="57"/>
      <c r="C155" s="67"/>
      <c r="D155" s="67"/>
      <c r="E155" s="39"/>
      <c r="F155" s="39"/>
      <c r="G155" s="39"/>
      <c r="H155" s="67"/>
      <c r="I155" s="60"/>
      <c r="J155" s="60"/>
      <c r="K155" s="60"/>
      <c r="L155" s="60"/>
      <c r="M155" s="60"/>
      <c r="N155" s="60"/>
      <c r="O155" s="60"/>
      <c r="P155" s="60"/>
      <c r="Q155" s="60"/>
      <c r="R155" s="60"/>
      <c r="S155" s="70"/>
      <c r="T155" s="70"/>
      <c r="U155" s="70"/>
      <c r="V155" s="70"/>
      <c r="W155" s="70"/>
      <c r="X155" s="70"/>
      <c r="Y155" s="70"/>
      <c r="Z155" s="70"/>
      <c r="AA155" s="70"/>
      <c r="AB155" s="70"/>
      <c r="AC155" s="70"/>
      <c r="AD155" s="136"/>
      <c r="AE155" s="24"/>
      <c r="AF155" s="24"/>
      <c r="AG155" s="73"/>
      <c r="AH155" s="125"/>
      <c r="AI155" s="103"/>
      <c r="AK155" s="113"/>
      <c r="AL155" s="113"/>
      <c r="AM155" s="113"/>
      <c r="AN155" s="113"/>
      <c r="AO155" s="137"/>
      <c r="AP155" s="137"/>
      <c r="AQ155" s="137"/>
      <c r="AR155" s="137"/>
      <c r="AS155" s="137"/>
      <c r="AT155" s="137"/>
      <c r="AU155" s="67"/>
      <c r="AV155" s="44"/>
      <c r="AW155" s="67"/>
      <c r="AX155" s="75"/>
      <c r="AY155" s="123"/>
      <c r="AZ155" s="67"/>
      <c r="BA155" s="138"/>
      <c r="BB155" s="67"/>
      <c r="BC155" s="67"/>
      <c r="BD155" s="67"/>
      <c r="BE155" s="67"/>
      <c r="BF155" s="67"/>
      <c r="BG155" s="67"/>
      <c r="BH155" s="67"/>
      <c r="BI155" s="67"/>
      <c r="BJ155" s="67"/>
      <c r="BK155" s="67"/>
      <c r="BL155" s="67"/>
      <c r="BM155" s="70"/>
      <c r="BN155" s="70"/>
      <c r="BO155" s="70"/>
      <c r="BP155" s="70"/>
      <c r="BQ155" s="70"/>
      <c r="BR155" s="70"/>
      <c r="BS155" s="70"/>
      <c r="BT155" s="70"/>
      <c r="BU155" s="70"/>
      <c r="BV155" s="70"/>
      <c r="BW155" s="70"/>
      <c r="BX155" s="136"/>
      <c r="BY155" s="70"/>
      <c r="BZ155" s="67"/>
      <c r="CA155" s="67"/>
      <c r="CB155" s="67"/>
    </row>
    <row r="156" spans="1:80" s="28" customFormat="1" ht="16" customHeight="1">
      <c r="A156" s="39"/>
      <c r="B156" s="57"/>
      <c r="C156" s="67"/>
      <c r="D156" s="67"/>
      <c r="E156" s="39"/>
      <c r="F156" s="39"/>
      <c r="G156" s="39"/>
      <c r="H156" s="67"/>
      <c r="I156" s="60"/>
      <c r="J156" s="60"/>
      <c r="K156" s="60"/>
      <c r="L156" s="60"/>
      <c r="M156" s="60"/>
      <c r="N156" s="60"/>
      <c r="O156" s="60"/>
      <c r="P156" s="60"/>
      <c r="Q156" s="60"/>
      <c r="R156" s="60"/>
      <c r="S156" s="70"/>
      <c r="T156" s="70"/>
      <c r="U156" s="70"/>
      <c r="V156" s="70"/>
      <c r="W156" s="70"/>
      <c r="X156" s="70"/>
      <c r="Y156" s="70"/>
      <c r="Z156" s="70"/>
      <c r="AA156" s="70"/>
      <c r="AB156" s="70"/>
      <c r="AC156" s="70"/>
      <c r="AD156" s="136"/>
      <c r="AE156" s="24"/>
      <c r="AF156" s="24"/>
      <c r="AG156" s="73"/>
      <c r="AH156" s="125"/>
      <c r="AI156" s="103"/>
      <c r="AK156" s="113"/>
      <c r="AL156" s="113"/>
      <c r="AM156" s="113"/>
      <c r="AN156" s="113"/>
      <c r="AO156" s="137"/>
      <c r="AP156" s="137"/>
      <c r="AQ156" s="137"/>
      <c r="AR156" s="137"/>
      <c r="AS156" s="137"/>
      <c r="AT156" s="137"/>
      <c r="AU156" s="67"/>
      <c r="AV156" s="44"/>
      <c r="AW156" s="67"/>
      <c r="AX156" s="75"/>
      <c r="AY156" s="123"/>
      <c r="AZ156" s="67"/>
      <c r="BA156" s="138"/>
      <c r="BB156" s="67"/>
      <c r="BC156" s="67"/>
      <c r="BD156" s="67"/>
      <c r="BE156" s="67"/>
      <c r="BF156" s="67"/>
      <c r="BG156" s="67"/>
      <c r="BH156" s="67"/>
      <c r="BI156" s="67"/>
      <c r="BJ156" s="67"/>
      <c r="BK156" s="67"/>
      <c r="BL156" s="67"/>
      <c r="BM156" s="70"/>
      <c r="BN156" s="70"/>
      <c r="BO156" s="70"/>
      <c r="BP156" s="70"/>
      <c r="BQ156" s="70"/>
      <c r="BR156" s="70"/>
      <c r="BS156" s="70"/>
      <c r="BT156" s="70"/>
      <c r="BU156" s="70"/>
      <c r="BV156" s="70"/>
      <c r="BW156" s="70"/>
      <c r="BX156" s="136"/>
      <c r="BY156" s="70"/>
      <c r="BZ156" s="67"/>
      <c r="CA156" s="67"/>
      <c r="CB156" s="67"/>
    </row>
    <row r="157" spans="1:80" s="28" customFormat="1" ht="16" customHeight="1">
      <c r="A157" s="39"/>
      <c r="B157" s="57"/>
      <c r="C157" s="67"/>
      <c r="D157" s="67"/>
      <c r="E157" s="39"/>
      <c r="F157" s="39"/>
      <c r="G157" s="39"/>
      <c r="H157" s="67"/>
      <c r="I157" s="60"/>
      <c r="J157" s="60"/>
      <c r="K157" s="60"/>
      <c r="L157" s="60"/>
      <c r="M157" s="60"/>
      <c r="N157" s="60"/>
      <c r="O157" s="60"/>
      <c r="P157" s="60"/>
      <c r="Q157" s="60"/>
      <c r="R157" s="60"/>
      <c r="S157" s="70"/>
      <c r="T157" s="70"/>
      <c r="U157" s="70"/>
      <c r="V157" s="70"/>
      <c r="W157" s="70"/>
      <c r="X157" s="70"/>
      <c r="Y157" s="70"/>
      <c r="Z157" s="70"/>
      <c r="AA157" s="70"/>
      <c r="AB157" s="70"/>
      <c r="AC157" s="70"/>
      <c r="AD157" s="136"/>
      <c r="AE157" s="24"/>
      <c r="AF157" s="24"/>
      <c r="AG157" s="73"/>
      <c r="AH157" s="125"/>
      <c r="AI157" s="103"/>
      <c r="AK157" s="113"/>
      <c r="AL157" s="113"/>
      <c r="AM157" s="113"/>
      <c r="AN157" s="113"/>
      <c r="AO157" s="137"/>
      <c r="AP157" s="137"/>
      <c r="AQ157" s="137"/>
      <c r="AR157" s="137"/>
      <c r="AS157" s="137"/>
      <c r="AT157" s="137"/>
      <c r="AU157" s="67"/>
      <c r="AV157" s="44"/>
      <c r="AW157" s="67"/>
      <c r="AX157" s="75"/>
      <c r="AY157" s="123"/>
      <c r="AZ157" s="67"/>
      <c r="BA157" s="138"/>
      <c r="BB157" s="67"/>
      <c r="BC157" s="67"/>
      <c r="BD157" s="67"/>
      <c r="BE157" s="67"/>
      <c r="BF157" s="67"/>
      <c r="BG157" s="67"/>
      <c r="BH157" s="67"/>
      <c r="BI157" s="67"/>
      <c r="BJ157" s="67"/>
      <c r="BK157" s="67"/>
      <c r="BL157" s="67"/>
      <c r="BM157" s="70"/>
      <c r="BN157" s="70"/>
      <c r="BO157" s="70"/>
      <c r="BP157" s="70"/>
      <c r="BQ157" s="70"/>
      <c r="BR157" s="70"/>
      <c r="BS157" s="70"/>
      <c r="BT157" s="70"/>
      <c r="BU157" s="70"/>
      <c r="BV157" s="70"/>
      <c r="BW157" s="70"/>
      <c r="BX157" s="136"/>
      <c r="BY157" s="70"/>
      <c r="BZ157" s="67"/>
      <c r="CA157" s="67"/>
      <c r="CB157" s="67"/>
    </row>
    <row r="158" spans="1:80" s="28" customFormat="1" ht="16" customHeight="1">
      <c r="A158" s="39"/>
      <c r="B158" s="57"/>
      <c r="C158" s="67"/>
      <c r="D158" s="67"/>
      <c r="E158" s="39"/>
      <c r="F158" s="39"/>
      <c r="G158" s="39"/>
      <c r="H158" s="67"/>
      <c r="I158" s="60"/>
      <c r="J158" s="60"/>
      <c r="K158" s="60"/>
      <c r="L158" s="60"/>
      <c r="M158" s="60"/>
      <c r="N158" s="60"/>
      <c r="O158" s="60"/>
      <c r="P158" s="60"/>
      <c r="Q158" s="60"/>
      <c r="R158" s="60"/>
      <c r="S158" s="70"/>
      <c r="T158" s="70"/>
      <c r="U158" s="70"/>
      <c r="V158" s="70"/>
      <c r="W158" s="70"/>
      <c r="X158" s="70"/>
      <c r="Y158" s="70"/>
      <c r="Z158" s="70"/>
      <c r="AA158" s="70"/>
      <c r="AB158" s="70"/>
      <c r="AC158" s="70"/>
      <c r="AD158" s="136"/>
      <c r="AE158" s="24"/>
      <c r="AF158" s="24"/>
      <c r="AG158" s="73"/>
      <c r="AH158" s="125"/>
      <c r="AI158" s="103"/>
      <c r="AK158" s="113"/>
      <c r="AL158" s="113"/>
      <c r="AM158" s="113"/>
      <c r="AN158" s="113"/>
      <c r="AO158" s="137"/>
      <c r="AP158" s="137"/>
      <c r="AQ158" s="137"/>
      <c r="AR158" s="137"/>
      <c r="AS158" s="137"/>
      <c r="AT158" s="137"/>
      <c r="AU158" s="67"/>
      <c r="AV158" s="44"/>
      <c r="AW158" s="67"/>
      <c r="AX158" s="75"/>
      <c r="AY158" s="123"/>
      <c r="AZ158" s="67"/>
      <c r="BA158" s="138"/>
      <c r="BB158" s="67"/>
      <c r="BC158" s="67"/>
      <c r="BD158" s="67"/>
      <c r="BE158" s="67"/>
      <c r="BF158" s="67"/>
      <c r="BG158" s="67"/>
      <c r="BH158" s="67"/>
      <c r="BI158" s="67"/>
      <c r="BJ158" s="67"/>
      <c r="BK158" s="67"/>
      <c r="BL158" s="67"/>
      <c r="BM158" s="70"/>
      <c r="BN158" s="70"/>
      <c r="BO158" s="70"/>
      <c r="BP158" s="70"/>
      <c r="BQ158" s="70"/>
      <c r="BR158" s="70"/>
      <c r="BS158" s="70"/>
      <c r="BT158" s="70"/>
      <c r="BU158" s="70"/>
      <c r="BV158" s="70"/>
      <c r="BW158" s="70"/>
      <c r="BX158" s="136"/>
      <c r="BY158" s="70"/>
      <c r="BZ158" s="67"/>
      <c r="CA158" s="67"/>
      <c r="CB158" s="67"/>
    </row>
    <row r="159" spans="1:80" s="28" customFormat="1" ht="16" customHeight="1">
      <c r="A159" s="39"/>
      <c r="B159" s="57"/>
      <c r="C159" s="67"/>
      <c r="D159" s="67"/>
      <c r="E159" s="39"/>
      <c r="F159" s="39"/>
      <c r="G159" s="39"/>
      <c r="H159" s="67"/>
      <c r="I159" s="60"/>
      <c r="J159" s="60"/>
      <c r="K159" s="60"/>
      <c r="L159" s="60"/>
      <c r="M159" s="60"/>
      <c r="N159" s="60"/>
      <c r="O159" s="60"/>
      <c r="P159" s="60"/>
      <c r="Q159" s="60"/>
      <c r="R159" s="60"/>
      <c r="S159" s="70"/>
      <c r="T159" s="70"/>
      <c r="U159" s="70"/>
      <c r="V159" s="70"/>
      <c r="W159" s="70"/>
      <c r="X159" s="70"/>
      <c r="Y159" s="70"/>
      <c r="Z159" s="70"/>
      <c r="AA159" s="70"/>
      <c r="AB159" s="70"/>
      <c r="AC159" s="70"/>
      <c r="AD159" s="136"/>
      <c r="AE159" s="24"/>
      <c r="AF159" s="24"/>
      <c r="AG159" s="73"/>
      <c r="AH159" s="125"/>
      <c r="AI159" s="103"/>
      <c r="AK159" s="113"/>
      <c r="AL159" s="113"/>
      <c r="AM159" s="113"/>
      <c r="AN159" s="113"/>
      <c r="AO159" s="137"/>
      <c r="AP159" s="137"/>
      <c r="AQ159" s="137"/>
      <c r="AR159" s="137"/>
      <c r="AS159" s="137"/>
      <c r="AT159" s="137"/>
      <c r="AU159" s="67"/>
      <c r="AV159" s="44"/>
      <c r="AW159" s="67"/>
      <c r="AX159" s="75"/>
      <c r="AY159" s="123"/>
      <c r="AZ159" s="67"/>
      <c r="BA159" s="138"/>
      <c r="BB159" s="67"/>
      <c r="BC159" s="67"/>
      <c r="BD159" s="67"/>
      <c r="BE159" s="67"/>
      <c r="BF159" s="67"/>
      <c r="BG159" s="67"/>
      <c r="BH159" s="67"/>
      <c r="BI159" s="67"/>
      <c r="BJ159" s="67"/>
      <c r="BK159" s="67"/>
      <c r="BL159" s="67"/>
      <c r="BM159" s="70"/>
      <c r="BN159" s="70"/>
      <c r="BO159" s="70"/>
      <c r="BP159" s="70"/>
      <c r="BQ159" s="70"/>
      <c r="BR159" s="70"/>
      <c r="BS159" s="70"/>
      <c r="BT159" s="70"/>
      <c r="BU159" s="70"/>
      <c r="BV159" s="70"/>
      <c r="BW159" s="70"/>
      <c r="BX159" s="136"/>
      <c r="BY159" s="70"/>
      <c r="BZ159" s="67"/>
      <c r="CA159" s="67"/>
      <c r="CB159" s="67"/>
    </row>
    <row r="160" spans="1:80" s="28" customFormat="1" ht="16" customHeight="1">
      <c r="A160" s="39"/>
      <c r="B160" s="57"/>
      <c r="C160" s="67"/>
      <c r="D160" s="67"/>
      <c r="E160" s="39"/>
      <c r="F160" s="39"/>
      <c r="G160" s="39"/>
      <c r="H160" s="67"/>
      <c r="I160" s="60"/>
      <c r="J160" s="60"/>
      <c r="K160" s="60"/>
      <c r="L160" s="60"/>
      <c r="M160" s="60"/>
      <c r="N160" s="60"/>
      <c r="O160" s="60"/>
      <c r="P160" s="60"/>
      <c r="Q160" s="60"/>
      <c r="R160" s="60"/>
      <c r="S160" s="70"/>
      <c r="T160" s="70"/>
      <c r="U160" s="70"/>
      <c r="V160" s="70"/>
      <c r="W160" s="70"/>
      <c r="X160" s="70"/>
      <c r="Y160" s="70"/>
      <c r="Z160" s="70"/>
      <c r="AA160" s="70"/>
      <c r="AB160" s="70"/>
      <c r="AC160" s="70"/>
      <c r="AD160" s="136"/>
      <c r="AE160" s="24"/>
      <c r="AF160" s="24"/>
      <c r="AG160" s="73"/>
      <c r="AH160" s="125"/>
      <c r="AI160" s="103"/>
      <c r="AK160" s="113"/>
      <c r="AL160" s="113"/>
      <c r="AM160" s="113"/>
      <c r="AN160" s="113"/>
      <c r="AO160" s="137"/>
      <c r="AP160" s="137"/>
      <c r="AQ160" s="137"/>
      <c r="AR160" s="137"/>
      <c r="AS160" s="137"/>
      <c r="AT160" s="137"/>
      <c r="AU160" s="67"/>
      <c r="AV160" s="44"/>
      <c r="AW160" s="67"/>
      <c r="AX160" s="75"/>
      <c r="AY160" s="123"/>
      <c r="AZ160" s="67"/>
      <c r="BA160" s="138"/>
      <c r="BB160" s="67"/>
      <c r="BC160" s="67"/>
      <c r="BD160" s="67"/>
      <c r="BE160" s="67"/>
      <c r="BF160" s="67"/>
      <c r="BG160" s="67"/>
      <c r="BH160" s="67"/>
      <c r="BI160" s="67"/>
      <c r="BJ160" s="67"/>
      <c r="BK160" s="67"/>
      <c r="BL160" s="67"/>
      <c r="BM160" s="70"/>
      <c r="BN160" s="70"/>
      <c r="BO160" s="70"/>
      <c r="BP160" s="70"/>
      <c r="BQ160" s="70"/>
      <c r="BR160" s="70"/>
      <c r="BS160" s="70"/>
      <c r="BT160" s="70"/>
      <c r="BU160" s="70"/>
      <c r="BV160" s="70"/>
      <c r="BW160" s="70"/>
      <c r="BX160" s="136"/>
      <c r="BY160" s="70"/>
      <c r="BZ160" s="67"/>
      <c r="CA160" s="67"/>
      <c r="CB160" s="67"/>
    </row>
    <row r="161" spans="1:80" s="28" customFormat="1" ht="16" customHeight="1">
      <c r="A161" s="39"/>
      <c r="B161" s="57"/>
      <c r="C161" s="67"/>
      <c r="D161" s="67"/>
      <c r="E161" s="39"/>
      <c r="F161" s="39"/>
      <c r="G161" s="39"/>
      <c r="H161" s="67"/>
      <c r="I161" s="60"/>
      <c r="J161" s="60"/>
      <c r="K161" s="60"/>
      <c r="L161" s="60"/>
      <c r="M161" s="60"/>
      <c r="N161" s="60"/>
      <c r="O161" s="60"/>
      <c r="P161" s="60"/>
      <c r="Q161" s="60"/>
      <c r="R161" s="60"/>
      <c r="S161" s="70"/>
      <c r="T161" s="70"/>
      <c r="U161" s="70"/>
      <c r="V161" s="70"/>
      <c r="W161" s="70"/>
      <c r="X161" s="70"/>
      <c r="Y161" s="70"/>
      <c r="Z161" s="70"/>
      <c r="AA161" s="70"/>
      <c r="AB161" s="70"/>
      <c r="AC161" s="70"/>
      <c r="AD161" s="136"/>
      <c r="AE161" s="24"/>
      <c r="AF161" s="24"/>
      <c r="AG161" s="73"/>
      <c r="AH161" s="125"/>
      <c r="AI161" s="103"/>
      <c r="AK161" s="113"/>
      <c r="AL161" s="113"/>
      <c r="AM161" s="113"/>
      <c r="AN161" s="113"/>
      <c r="AO161" s="137"/>
      <c r="AP161" s="137"/>
      <c r="AQ161" s="137"/>
      <c r="AR161" s="137"/>
      <c r="AS161" s="137"/>
      <c r="AT161" s="137"/>
      <c r="AU161" s="67"/>
      <c r="AV161" s="44"/>
      <c r="AW161" s="67"/>
      <c r="AX161" s="75"/>
      <c r="AY161" s="123"/>
      <c r="AZ161" s="67"/>
      <c r="BA161" s="138"/>
      <c r="BB161" s="67"/>
      <c r="BC161" s="67"/>
      <c r="BD161" s="67"/>
      <c r="BE161" s="67"/>
      <c r="BF161" s="67"/>
      <c r="BG161" s="67"/>
      <c r="BH161" s="67"/>
      <c r="BI161" s="67"/>
      <c r="BJ161" s="67"/>
      <c r="BK161" s="67"/>
      <c r="BL161" s="67"/>
      <c r="BM161" s="70"/>
      <c r="BN161" s="70"/>
      <c r="BO161" s="70"/>
      <c r="BP161" s="70"/>
      <c r="BQ161" s="70"/>
      <c r="BR161" s="70"/>
      <c r="BS161" s="70"/>
      <c r="BT161" s="70"/>
      <c r="BU161" s="70"/>
      <c r="BV161" s="70"/>
      <c r="BW161" s="70"/>
      <c r="BX161" s="136"/>
      <c r="BY161" s="70"/>
      <c r="BZ161" s="67"/>
      <c r="CA161" s="67"/>
      <c r="CB161" s="67"/>
    </row>
    <row r="162" spans="1:80" s="28" customFormat="1" ht="16" customHeight="1">
      <c r="A162" s="39"/>
      <c r="B162" s="57"/>
      <c r="C162" s="67"/>
      <c r="D162" s="67"/>
      <c r="E162" s="39"/>
      <c r="F162" s="39"/>
      <c r="G162" s="39"/>
      <c r="H162" s="67"/>
      <c r="I162" s="60"/>
      <c r="J162" s="60"/>
      <c r="K162" s="60"/>
      <c r="L162" s="60"/>
      <c r="M162" s="60"/>
      <c r="N162" s="60"/>
      <c r="O162" s="60"/>
      <c r="P162" s="60"/>
      <c r="Q162" s="60"/>
      <c r="R162" s="60"/>
      <c r="S162" s="70"/>
      <c r="T162" s="70"/>
      <c r="U162" s="70"/>
      <c r="V162" s="70"/>
      <c r="W162" s="70"/>
      <c r="X162" s="70"/>
      <c r="Y162" s="70"/>
      <c r="Z162" s="70"/>
      <c r="AA162" s="70"/>
      <c r="AB162" s="70"/>
      <c r="AC162" s="70"/>
      <c r="AD162" s="136"/>
      <c r="AE162" s="24"/>
      <c r="AF162" s="24"/>
      <c r="AG162" s="73"/>
      <c r="AH162" s="125"/>
      <c r="AI162" s="103"/>
      <c r="AK162" s="113"/>
      <c r="AL162" s="113"/>
      <c r="AM162" s="113"/>
      <c r="AN162" s="113"/>
      <c r="AO162" s="137"/>
      <c r="AP162" s="137"/>
      <c r="AQ162" s="137"/>
      <c r="AR162" s="137"/>
      <c r="AS162" s="137"/>
      <c r="AT162" s="137"/>
      <c r="AU162" s="67"/>
      <c r="AV162" s="44"/>
      <c r="AW162" s="67"/>
      <c r="AX162" s="75"/>
      <c r="AY162" s="123"/>
      <c r="AZ162" s="67"/>
      <c r="BA162" s="138"/>
      <c r="BB162" s="67"/>
      <c r="BC162" s="67"/>
      <c r="BD162" s="67"/>
      <c r="BE162" s="67"/>
      <c r="BF162" s="67"/>
      <c r="BG162" s="67"/>
      <c r="BH162" s="67"/>
      <c r="BI162" s="67"/>
      <c r="BJ162" s="67"/>
      <c r="BK162" s="67"/>
      <c r="BL162" s="67"/>
      <c r="BM162" s="70"/>
      <c r="BN162" s="70"/>
      <c r="BO162" s="70"/>
      <c r="BP162" s="70"/>
      <c r="BQ162" s="70"/>
      <c r="BR162" s="70"/>
      <c r="BS162" s="70"/>
      <c r="BT162" s="70"/>
      <c r="BU162" s="70"/>
      <c r="BV162" s="70"/>
      <c r="BW162" s="70"/>
      <c r="BX162" s="136"/>
      <c r="BY162" s="70"/>
      <c r="BZ162" s="67"/>
      <c r="CA162" s="67"/>
      <c r="CB162" s="67"/>
    </row>
    <row r="163" spans="1:80" s="28" customFormat="1" ht="16" customHeight="1">
      <c r="A163" s="39"/>
      <c r="B163" s="57"/>
      <c r="C163" s="67"/>
      <c r="D163" s="67"/>
      <c r="E163" s="39"/>
      <c r="F163" s="39"/>
      <c r="G163" s="39"/>
      <c r="H163" s="67"/>
      <c r="I163" s="60"/>
      <c r="J163" s="60"/>
      <c r="K163" s="60"/>
      <c r="L163" s="60"/>
      <c r="M163" s="60"/>
      <c r="N163" s="60"/>
      <c r="O163" s="60"/>
      <c r="P163" s="60"/>
      <c r="Q163" s="60"/>
      <c r="R163" s="60"/>
      <c r="S163" s="70"/>
      <c r="T163" s="70"/>
      <c r="U163" s="70"/>
      <c r="V163" s="70"/>
      <c r="W163" s="70"/>
      <c r="X163" s="70"/>
      <c r="Y163" s="70"/>
      <c r="Z163" s="70"/>
      <c r="AA163" s="70"/>
      <c r="AB163" s="70"/>
      <c r="AC163" s="70"/>
      <c r="AD163" s="136"/>
      <c r="AE163" s="24"/>
      <c r="AF163" s="24"/>
      <c r="AG163" s="73"/>
      <c r="AH163" s="125"/>
      <c r="AI163" s="103"/>
      <c r="AK163" s="113"/>
      <c r="AL163" s="113"/>
      <c r="AM163" s="113"/>
      <c r="AN163" s="113"/>
      <c r="AO163" s="137"/>
      <c r="AP163" s="137"/>
      <c r="AQ163" s="137"/>
      <c r="AR163" s="137"/>
      <c r="AS163" s="137"/>
      <c r="AT163" s="137"/>
      <c r="AU163" s="67"/>
      <c r="AV163" s="44"/>
      <c r="AW163" s="67"/>
      <c r="AX163" s="75"/>
      <c r="AY163" s="123"/>
      <c r="AZ163" s="67"/>
      <c r="BA163" s="138"/>
      <c r="BB163" s="67"/>
      <c r="BC163" s="67"/>
      <c r="BD163" s="67"/>
      <c r="BE163" s="67"/>
      <c r="BF163" s="67"/>
      <c r="BG163" s="67"/>
      <c r="BH163" s="67"/>
      <c r="BI163" s="67"/>
      <c r="BJ163" s="67"/>
      <c r="BK163" s="67"/>
      <c r="BL163" s="67"/>
      <c r="BM163" s="70"/>
      <c r="BN163" s="70"/>
      <c r="BO163" s="70"/>
      <c r="BP163" s="70"/>
      <c r="BQ163" s="70"/>
      <c r="BR163" s="70"/>
      <c r="BS163" s="70"/>
      <c r="BT163" s="70"/>
      <c r="BU163" s="70"/>
      <c r="BV163" s="70"/>
      <c r="BW163" s="70"/>
      <c r="BX163" s="136"/>
      <c r="BY163" s="70"/>
      <c r="BZ163" s="67"/>
      <c r="CA163" s="67"/>
      <c r="CB163" s="67"/>
    </row>
    <row r="164" spans="1:80" s="28" customFormat="1" ht="16" customHeight="1">
      <c r="A164" s="39"/>
      <c r="B164" s="57"/>
      <c r="C164" s="67"/>
      <c r="D164" s="67"/>
      <c r="E164" s="39"/>
      <c r="F164" s="39"/>
      <c r="G164" s="39"/>
      <c r="H164" s="67"/>
      <c r="I164" s="60"/>
      <c r="J164" s="60"/>
      <c r="K164" s="60"/>
      <c r="L164" s="60"/>
      <c r="M164" s="60"/>
      <c r="N164" s="60"/>
      <c r="O164" s="60"/>
      <c r="P164" s="60"/>
      <c r="Q164" s="60"/>
      <c r="R164" s="60"/>
      <c r="S164" s="70"/>
      <c r="T164" s="70"/>
      <c r="U164" s="70"/>
      <c r="V164" s="70"/>
      <c r="W164" s="70"/>
      <c r="X164" s="70"/>
      <c r="Y164" s="70"/>
      <c r="Z164" s="70"/>
      <c r="AA164" s="70"/>
      <c r="AB164" s="70"/>
      <c r="AC164" s="70"/>
      <c r="AD164" s="136"/>
      <c r="AE164" s="24"/>
      <c r="AF164" s="24"/>
      <c r="AG164" s="73"/>
      <c r="AH164" s="125"/>
      <c r="AI164" s="103"/>
      <c r="AK164" s="113"/>
      <c r="AL164" s="113"/>
      <c r="AM164" s="113"/>
      <c r="AN164" s="113"/>
      <c r="AO164" s="137"/>
      <c r="AP164" s="137"/>
      <c r="AQ164" s="137"/>
      <c r="AR164" s="137"/>
      <c r="AS164" s="137"/>
      <c r="AT164" s="137"/>
      <c r="AU164" s="67"/>
      <c r="AV164" s="44"/>
      <c r="AW164" s="67"/>
      <c r="AX164" s="75"/>
      <c r="AY164" s="123"/>
      <c r="AZ164" s="67"/>
      <c r="BA164" s="138"/>
      <c r="BB164" s="67"/>
      <c r="BC164" s="67"/>
      <c r="BD164" s="67"/>
      <c r="BE164" s="67"/>
      <c r="BF164" s="67"/>
      <c r="BG164" s="67"/>
      <c r="BH164" s="67"/>
      <c r="BI164" s="67"/>
      <c r="BJ164" s="67"/>
      <c r="BK164" s="67"/>
      <c r="BL164" s="67"/>
      <c r="BM164" s="70"/>
      <c r="BN164" s="70"/>
      <c r="BO164" s="70"/>
      <c r="BP164" s="70"/>
      <c r="BQ164" s="70"/>
      <c r="BR164" s="70"/>
      <c r="BS164" s="70"/>
      <c r="BT164" s="70"/>
      <c r="BU164" s="70"/>
      <c r="BV164" s="70"/>
      <c r="BW164" s="70"/>
      <c r="BX164" s="136"/>
      <c r="BY164" s="70"/>
      <c r="BZ164" s="67"/>
      <c r="CA164" s="67"/>
      <c r="CB164" s="67"/>
    </row>
    <row r="165" spans="1:80" s="28" customFormat="1" ht="16" customHeight="1">
      <c r="A165" s="39"/>
      <c r="B165" s="57"/>
      <c r="C165" s="67"/>
      <c r="D165" s="67"/>
      <c r="E165" s="39"/>
      <c r="F165" s="39"/>
      <c r="G165" s="39"/>
      <c r="H165" s="67"/>
      <c r="I165" s="60"/>
      <c r="J165" s="60"/>
      <c r="K165" s="60"/>
      <c r="L165" s="60"/>
      <c r="M165" s="60"/>
      <c r="N165" s="60"/>
      <c r="O165" s="60"/>
      <c r="P165" s="60"/>
      <c r="Q165" s="60"/>
      <c r="R165" s="60"/>
      <c r="S165" s="70"/>
      <c r="T165" s="70"/>
      <c r="U165" s="70"/>
      <c r="V165" s="70"/>
      <c r="W165" s="70"/>
      <c r="X165" s="70"/>
      <c r="Y165" s="70"/>
      <c r="Z165" s="70"/>
      <c r="AA165" s="70"/>
      <c r="AB165" s="70"/>
      <c r="AC165" s="70"/>
      <c r="AD165" s="136"/>
      <c r="AE165" s="24"/>
      <c r="AF165" s="24"/>
      <c r="AG165" s="73"/>
      <c r="AH165" s="125"/>
      <c r="AI165" s="103"/>
      <c r="AK165" s="113"/>
      <c r="AL165" s="113"/>
      <c r="AM165" s="113"/>
      <c r="AN165" s="113"/>
      <c r="AO165" s="137"/>
      <c r="AP165" s="137"/>
      <c r="AQ165" s="137"/>
      <c r="AR165" s="137"/>
      <c r="AS165" s="137"/>
      <c r="AT165" s="137"/>
      <c r="AU165" s="67"/>
      <c r="AV165" s="44"/>
      <c r="AW165" s="67"/>
      <c r="AX165" s="75"/>
      <c r="AY165" s="123"/>
      <c r="AZ165" s="67"/>
      <c r="BA165" s="138"/>
      <c r="BB165" s="67"/>
      <c r="BC165" s="67"/>
      <c r="BD165" s="67"/>
      <c r="BE165" s="67"/>
      <c r="BF165" s="67"/>
      <c r="BG165" s="67"/>
      <c r="BH165" s="67"/>
      <c r="BI165" s="67"/>
      <c r="BJ165" s="67"/>
      <c r="BK165" s="67"/>
      <c r="BL165" s="67"/>
      <c r="BM165" s="70"/>
      <c r="BN165" s="70"/>
      <c r="BO165" s="70"/>
      <c r="BP165" s="70"/>
      <c r="BQ165" s="70"/>
      <c r="BR165" s="70"/>
      <c r="BS165" s="70"/>
      <c r="BT165" s="70"/>
      <c r="BU165" s="70"/>
      <c r="BV165" s="70"/>
      <c r="BW165" s="70"/>
      <c r="BX165" s="136"/>
      <c r="BY165" s="70"/>
      <c r="BZ165" s="67"/>
      <c r="CA165" s="67"/>
      <c r="CB165" s="67"/>
    </row>
    <row r="166" spans="1:80" s="28" customFormat="1" ht="16" customHeight="1">
      <c r="A166" s="39"/>
      <c r="B166" s="57"/>
      <c r="C166" s="67"/>
      <c r="D166" s="67"/>
      <c r="E166" s="39"/>
      <c r="F166" s="39"/>
      <c r="G166" s="39"/>
      <c r="H166" s="67"/>
      <c r="I166" s="60"/>
      <c r="J166" s="60"/>
      <c r="K166" s="60"/>
      <c r="L166" s="60"/>
      <c r="M166" s="60"/>
      <c r="N166" s="60"/>
      <c r="O166" s="60"/>
      <c r="P166" s="60"/>
      <c r="Q166" s="60"/>
      <c r="R166" s="60"/>
      <c r="S166" s="70"/>
      <c r="T166" s="70"/>
      <c r="U166" s="70"/>
      <c r="V166" s="70"/>
      <c r="W166" s="70"/>
      <c r="X166" s="70"/>
      <c r="Y166" s="70"/>
      <c r="Z166" s="70"/>
      <c r="AA166" s="70"/>
      <c r="AB166" s="70"/>
      <c r="AC166" s="70"/>
      <c r="AD166" s="136"/>
      <c r="AE166" s="24"/>
      <c r="AF166" s="24"/>
      <c r="AG166" s="73"/>
      <c r="AH166" s="125"/>
      <c r="AI166" s="103"/>
      <c r="AK166" s="113"/>
      <c r="AL166" s="113"/>
      <c r="AM166" s="113"/>
      <c r="AN166" s="113"/>
      <c r="AO166" s="137"/>
      <c r="AP166" s="137"/>
      <c r="AQ166" s="137"/>
      <c r="AR166" s="137"/>
      <c r="AS166" s="137"/>
      <c r="AT166" s="137"/>
      <c r="AU166" s="67"/>
      <c r="AV166" s="44"/>
      <c r="AW166" s="67"/>
      <c r="AX166" s="75"/>
      <c r="AY166" s="123"/>
      <c r="AZ166" s="67"/>
      <c r="BA166" s="138"/>
      <c r="BB166" s="67"/>
      <c r="BC166" s="67"/>
      <c r="BD166" s="67"/>
      <c r="BE166" s="67"/>
      <c r="BF166" s="67"/>
      <c r="BG166" s="67"/>
      <c r="BH166" s="67"/>
      <c r="BI166" s="67"/>
      <c r="BJ166" s="67"/>
      <c r="BK166" s="67"/>
      <c r="BL166" s="67"/>
      <c r="BM166" s="70"/>
      <c r="BN166" s="70"/>
      <c r="BO166" s="70"/>
      <c r="BP166" s="70"/>
      <c r="BQ166" s="70"/>
      <c r="BR166" s="70"/>
      <c r="BS166" s="70"/>
      <c r="BT166" s="70"/>
      <c r="BU166" s="70"/>
      <c r="BV166" s="70"/>
      <c r="BW166" s="70"/>
      <c r="BX166" s="136"/>
      <c r="BY166" s="70"/>
      <c r="BZ166" s="67"/>
      <c r="CA166" s="67"/>
      <c r="CB166" s="67"/>
    </row>
    <row r="167" spans="1:80" s="28" customFormat="1" ht="16" customHeight="1">
      <c r="A167" s="39"/>
      <c r="B167" s="57"/>
      <c r="C167" s="67"/>
      <c r="D167" s="67"/>
      <c r="E167" s="39"/>
      <c r="F167" s="39"/>
      <c r="G167" s="39"/>
      <c r="H167" s="67"/>
      <c r="I167" s="60"/>
      <c r="J167" s="60"/>
      <c r="K167" s="60"/>
      <c r="L167" s="60"/>
      <c r="M167" s="60"/>
      <c r="N167" s="60"/>
      <c r="O167" s="60"/>
      <c r="P167" s="60"/>
      <c r="Q167" s="60"/>
      <c r="R167" s="60"/>
      <c r="S167" s="70"/>
      <c r="T167" s="70"/>
      <c r="U167" s="70"/>
      <c r="V167" s="70"/>
      <c r="W167" s="70"/>
      <c r="X167" s="70"/>
      <c r="Y167" s="70"/>
      <c r="Z167" s="70"/>
      <c r="AA167" s="70"/>
      <c r="AB167" s="70"/>
      <c r="AC167" s="70"/>
      <c r="AD167" s="136"/>
      <c r="AE167" s="24"/>
      <c r="AF167" s="24"/>
      <c r="AG167" s="73"/>
      <c r="AH167" s="125"/>
      <c r="AI167" s="103"/>
      <c r="AK167" s="113"/>
      <c r="AL167" s="113"/>
      <c r="AM167" s="113"/>
      <c r="AN167" s="113"/>
      <c r="AO167" s="137"/>
      <c r="AP167" s="137"/>
      <c r="AQ167" s="137"/>
      <c r="AR167" s="137"/>
      <c r="AS167" s="137"/>
      <c r="AT167" s="137"/>
      <c r="AU167" s="67"/>
      <c r="AV167" s="44"/>
      <c r="AW167" s="67"/>
      <c r="AX167" s="75"/>
      <c r="AY167" s="123"/>
      <c r="AZ167" s="67"/>
      <c r="BA167" s="138"/>
      <c r="BB167" s="67"/>
      <c r="BC167" s="67"/>
      <c r="BD167" s="67"/>
      <c r="BE167" s="67"/>
      <c r="BF167" s="67"/>
      <c r="BG167" s="67"/>
      <c r="BH167" s="67"/>
      <c r="BI167" s="67"/>
      <c r="BJ167" s="67"/>
      <c r="BK167" s="67"/>
      <c r="BL167" s="67"/>
      <c r="BM167" s="70"/>
      <c r="BN167" s="70"/>
      <c r="BO167" s="70"/>
      <c r="BP167" s="70"/>
      <c r="BQ167" s="70"/>
      <c r="BR167" s="70"/>
      <c r="BS167" s="70"/>
      <c r="BT167" s="70"/>
      <c r="BU167" s="70"/>
      <c r="BV167" s="70"/>
      <c r="BW167" s="70"/>
      <c r="BX167" s="136"/>
      <c r="BY167" s="70"/>
      <c r="BZ167" s="67"/>
      <c r="CA167" s="67"/>
      <c r="CB167" s="67"/>
    </row>
    <row r="168" spans="1:80" s="28" customFormat="1" ht="16" customHeight="1">
      <c r="A168" s="39"/>
      <c r="B168" s="57"/>
      <c r="C168" s="67"/>
      <c r="D168" s="67"/>
      <c r="E168" s="39"/>
      <c r="F168" s="39"/>
      <c r="G168" s="39"/>
      <c r="H168" s="67"/>
      <c r="I168" s="60"/>
      <c r="J168" s="60"/>
      <c r="K168" s="60"/>
      <c r="L168" s="60"/>
      <c r="M168" s="60"/>
      <c r="N168" s="60"/>
      <c r="O168" s="60"/>
      <c r="P168" s="60"/>
      <c r="Q168" s="60"/>
      <c r="R168" s="60"/>
      <c r="S168" s="70"/>
      <c r="T168" s="70"/>
      <c r="U168" s="70"/>
      <c r="V168" s="70"/>
      <c r="W168" s="70"/>
      <c r="X168" s="70"/>
      <c r="Y168" s="70"/>
      <c r="Z168" s="70"/>
      <c r="AA168" s="70"/>
      <c r="AB168" s="70"/>
      <c r="AC168" s="70"/>
      <c r="AD168" s="136"/>
      <c r="AE168" s="24"/>
      <c r="AF168" s="24"/>
      <c r="AG168" s="73"/>
      <c r="AH168" s="125"/>
      <c r="AI168" s="103"/>
      <c r="AK168" s="113"/>
      <c r="AL168" s="113"/>
      <c r="AM168" s="113"/>
      <c r="AN168" s="113"/>
      <c r="AO168" s="137"/>
      <c r="AP168" s="137"/>
      <c r="AQ168" s="137"/>
      <c r="AR168" s="137"/>
      <c r="AS168" s="137"/>
      <c r="AT168" s="137"/>
      <c r="AU168" s="67"/>
      <c r="AV168" s="44"/>
      <c r="AW168" s="67"/>
      <c r="AX168" s="75"/>
      <c r="AY168" s="123"/>
      <c r="AZ168" s="67"/>
      <c r="BA168" s="138"/>
      <c r="BB168" s="67"/>
      <c r="BC168" s="67"/>
      <c r="BD168" s="67"/>
      <c r="BE168" s="67"/>
      <c r="BF168" s="67"/>
      <c r="BG168" s="67"/>
      <c r="BH168" s="67"/>
      <c r="BI168" s="67"/>
      <c r="BJ168" s="67"/>
      <c r="BK168" s="67"/>
      <c r="BL168" s="67"/>
      <c r="BM168" s="70"/>
      <c r="BN168" s="70"/>
      <c r="BO168" s="70"/>
      <c r="BP168" s="70"/>
      <c r="BQ168" s="70"/>
      <c r="BR168" s="70"/>
      <c r="BS168" s="70"/>
      <c r="BT168" s="70"/>
      <c r="BU168" s="70"/>
      <c r="BV168" s="70"/>
      <c r="BW168" s="70"/>
      <c r="BX168" s="136"/>
      <c r="BY168" s="70"/>
      <c r="BZ168" s="67"/>
      <c r="CA168" s="67"/>
      <c r="CB168" s="67"/>
    </row>
    <row r="169" spans="1:80" s="28" customFormat="1" ht="16" customHeight="1">
      <c r="A169" s="39"/>
      <c r="B169" s="57"/>
      <c r="C169" s="67"/>
      <c r="D169" s="67"/>
      <c r="E169" s="39"/>
      <c r="F169" s="39"/>
      <c r="G169" s="39"/>
      <c r="H169" s="67"/>
      <c r="I169" s="60"/>
      <c r="J169" s="60"/>
      <c r="K169" s="60"/>
      <c r="L169" s="60"/>
      <c r="M169" s="60"/>
      <c r="N169" s="60"/>
      <c r="O169" s="60"/>
      <c r="P169" s="60"/>
      <c r="Q169" s="60"/>
      <c r="R169" s="60"/>
      <c r="S169" s="70"/>
      <c r="T169" s="70"/>
      <c r="U169" s="70"/>
      <c r="V169" s="70"/>
      <c r="W169" s="70"/>
      <c r="X169" s="70"/>
      <c r="Y169" s="70"/>
      <c r="Z169" s="70"/>
      <c r="AA169" s="70"/>
      <c r="AB169" s="70"/>
      <c r="AC169" s="70"/>
      <c r="AD169" s="136"/>
      <c r="AE169" s="24"/>
      <c r="AF169" s="24"/>
      <c r="AG169" s="73"/>
      <c r="AH169" s="125"/>
      <c r="AI169" s="103"/>
      <c r="AK169" s="113"/>
      <c r="AL169" s="113"/>
      <c r="AM169" s="113"/>
      <c r="AN169" s="113"/>
      <c r="AO169" s="137"/>
      <c r="AP169" s="137"/>
      <c r="AQ169" s="137"/>
      <c r="AR169" s="137"/>
      <c r="AS169" s="137"/>
      <c r="AT169" s="137"/>
      <c r="AU169" s="67"/>
      <c r="AV169" s="44"/>
      <c r="AW169" s="67"/>
      <c r="AX169" s="75"/>
      <c r="AY169" s="123"/>
      <c r="AZ169" s="67"/>
      <c r="BA169" s="138"/>
      <c r="BB169" s="67"/>
      <c r="BC169" s="67"/>
      <c r="BD169" s="67"/>
      <c r="BE169" s="67"/>
      <c r="BF169" s="67"/>
      <c r="BG169" s="67"/>
      <c r="BH169" s="67"/>
      <c r="BI169" s="67"/>
      <c r="BJ169" s="67"/>
      <c r="BK169" s="67"/>
      <c r="BL169" s="67"/>
      <c r="BM169" s="70"/>
      <c r="BN169" s="70"/>
      <c r="BO169" s="70"/>
      <c r="BP169" s="70"/>
      <c r="BQ169" s="70"/>
      <c r="BR169" s="70"/>
      <c r="BS169" s="70"/>
      <c r="BT169" s="70"/>
      <c r="BU169" s="70"/>
      <c r="BV169" s="70"/>
      <c r="BW169" s="70"/>
      <c r="BX169" s="136"/>
      <c r="BY169" s="70"/>
      <c r="BZ169" s="67"/>
      <c r="CA169" s="67"/>
      <c r="CB169" s="67"/>
    </row>
    <row r="170" spans="1:80" s="28" customFormat="1" ht="16" customHeight="1">
      <c r="A170" s="39"/>
      <c r="B170" s="57"/>
      <c r="C170" s="67"/>
      <c r="D170" s="67"/>
      <c r="E170" s="39"/>
      <c r="F170" s="39"/>
      <c r="G170" s="39"/>
      <c r="H170" s="67"/>
      <c r="I170" s="60"/>
      <c r="J170" s="60"/>
      <c r="K170" s="60"/>
      <c r="L170" s="60"/>
      <c r="M170" s="60"/>
      <c r="N170" s="60"/>
      <c r="O170" s="60"/>
      <c r="P170" s="60"/>
      <c r="Q170" s="60"/>
      <c r="R170" s="60"/>
      <c r="S170" s="70"/>
      <c r="T170" s="70"/>
      <c r="U170" s="70"/>
      <c r="V170" s="70"/>
      <c r="W170" s="70"/>
      <c r="X170" s="70"/>
      <c r="Y170" s="70"/>
      <c r="Z170" s="70"/>
      <c r="AA170" s="70"/>
      <c r="AB170" s="70"/>
      <c r="AC170" s="70"/>
      <c r="AD170" s="136"/>
      <c r="AE170" s="24"/>
      <c r="AF170" s="24"/>
      <c r="AG170" s="73"/>
      <c r="AH170" s="125"/>
      <c r="AI170" s="103"/>
      <c r="AK170" s="113"/>
      <c r="AL170" s="113"/>
      <c r="AM170" s="113"/>
      <c r="AN170" s="113"/>
      <c r="AO170" s="137"/>
      <c r="AP170" s="137"/>
      <c r="AQ170" s="137"/>
      <c r="AR170" s="137"/>
      <c r="AS170" s="137"/>
      <c r="AT170" s="137"/>
      <c r="AU170" s="67"/>
      <c r="AV170" s="44"/>
      <c r="AW170" s="67"/>
      <c r="AX170" s="75"/>
      <c r="AY170" s="123"/>
      <c r="AZ170" s="67"/>
      <c r="BA170" s="138"/>
      <c r="BB170" s="67"/>
      <c r="BC170" s="67"/>
      <c r="BD170" s="67"/>
      <c r="BE170" s="67"/>
      <c r="BF170" s="67"/>
      <c r="BG170" s="67"/>
      <c r="BH170" s="67"/>
      <c r="BI170" s="67"/>
      <c r="BJ170" s="67"/>
      <c r="BK170" s="67"/>
      <c r="BL170" s="67"/>
      <c r="BM170" s="70"/>
      <c r="BN170" s="70"/>
      <c r="BO170" s="70"/>
      <c r="BP170" s="70"/>
      <c r="BQ170" s="70"/>
      <c r="BR170" s="70"/>
      <c r="BS170" s="70"/>
      <c r="BT170" s="70"/>
      <c r="BU170" s="70"/>
      <c r="BV170" s="70"/>
      <c r="BW170" s="70"/>
      <c r="BX170" s="136"/>
      <c r="BY170" s="70"/>
      <c r="BZ170" s="67"/>
      <c r="CA170" s="67"/>
      <c r="CB170" s="67"/>
    </row>
    <row r="171" spans="1:80" s="28" customFormat="1" ht="16" customHeight="1">
      <c r="A171" s="39"/>
      <c r="B171" s="57"/>
      <c r="C171" s="67"/>
      <c r="D171" s="67"/>
      <c r="E171" s="39"/>
      <c r="F171" s="39"/>
      <c r="G171" s="39"/>
      <c r="H171" s="67"/>
      <c r="I171" s="60"/>
      <c r="J171" s="60"/>
      <c r="K171" s="60"/>
      <c r="L171" s="60"/>
      <c r="M171" s="60"/>
      <c r="N171" s="60"/>
      <c r="O171" s="60"/>
      <c r="P171" s="60"/>
      <c r="Q171" s="60"/>
      <c r="R171" s="60"/>
      <c r="S171" s="70"/>
      <c r="T171" s="70"/>
      <c r="U171" s="70"/>
      <c r="V171" s="70"/>
      <c r="W171" s="70"/>
      <c r="X171" s="70"/>
      <c r="Y171" s="70"/>
      <c r="Z171" s="70"/>
      <c r="AA171" s="70"/>
      <c r="AB171" s="70"/>
      <c r="AC171" s="70"/>
      <c r="AD171" s="136"/>
      <c r="AE171" s="24"/>
      <c r="AF171" s="24"/>
      <c r="AG171" s="73"/>
      <c r="AH171" s="125"/>
      <c r="AI171" s="103"/>
      <c r="AK171" s="113"/>
      <c r="AL171" s="113"/>
      <c r="AM171" s="113"/>
      <c r="AN171" s="113"/>
      <c r="AO171" s="137"/>
      <c r="AP171" s="137"/>
      <c r="AQ171" s="137"/>
      <c r="AR171" s="137"/>
      <c r="AS171" s="137"/>
      <c r="AT171" s="137"/>
      <c r="AU171" s="67"/>
      <c r="AV171" s="44"/>
      <c r="AW171" s="67"/>
      <c r="AX171" s="75"/>
      <c r="AY171" s="123"/>
      <c r="AZ171" s="67"/>
      <c r="BA171" s="138"/>
      <c r="BB171" s="67"/>
      <c r="BC171" s="67"/>
      <c r="BD171" s="67"/>
      <c r="BE171" s="67"/>
      <c r="BF171" s="67"/>
      <c r="BG171" s="67"/>
      <c r="BH171" s="67"/>
      <c r="BI171" s="67"/>
      <c r="BJ171" s="67"/>
      <c r="BK171" s="67"/>
      <c r="BL171" s="67"/>
      <c r="BM171" s="70"/>
      <c r="BN171" s="70"/>
      <c r="BO171" s="70"/>
      <c r="BP171" s="70"/>
      <c r="BQ171" s="70"/>
      <c r="BR171" s="70"/>
      <c r="BS171" s="70"/>
      <c r="BT171" s="70"/>
      <c r="BU171" s="70"/>
      <c r="BV171" s="70"/>
      <c r="BW171" s="70"/>
      <c r="BX171" s="136"/>
      <c r="BY171" s="70"/>
      <c r="BZ171" s="67"/>
      <c r="CA171" s="67"/>
      <c r="CB171" s="67"/>
    </row>
    <row r="172" spans="1:80" s="28" customFormat="1" ht="16" customHeight="1">
      <c r="A172" s="39"/>
      <c r="B172" s="57"/>
      <c r="C172" s="67"/>
      <c r="D172" s="67"/>
      <c r="E172" s="39"/>
      <c r="F172" s="39"/>
      <c r="G172" s="39"/>
      <c r="H172" s="67"/>
      <c r="I172" s="60"/>
      <c r="J172" s="60"/>
      <c r="K172" s="60"/>
      <c r="L172" s="60"/>
      <c r="M172" s="60"/>
      <c r="N172" s="60"/>
      <c r="O172" s="60"/>
      <c r="P172" s="60"/>
      <c r="Q172" s="60"/>
      <c r="R172" s="60"/>
      <c r="S172" s="70"/>
      <c r="T172" s="70"/>
      <c r="U172" s="70"/>
      <c r="V172" s="70"/>
      <c r="W172" s="70"/>
      <c r="X172" s="70"/>
      <c r="Y172" s="70"/>
      <c r="Z172" s="70"/>
      <c r="AA172" s="70"/>
      <c r="AB172" s="70"/>
      <c r="AC172" s="70"/>
      <c r="AD172" s="136"/>
      <c r="AE172" s="24"/>
      <c r="AF172" s="24"/>
      <c r="AG172" s="73"/>
      <c r="AH172" s="125"/>
      <c r="AI172" s="103"/>
      <c r="AK172" s="113"/>
      <c r="AL172" s="113"/>
      <c r="AM172" s="113"/>
      <c r="AN172" s="113"/>
      <c r="AO172" s="137"/>
      <c r="AP172" s="137"/>
      <c r="AQ172" s="137"/>
      <c r="AR172" s="137"/>
      <c r="AS172" s="137"/>
      <c r="AT172" s="137"/>
      <c r="AU172" s="67"/>
      <c r="AV172" s="44"/>
      <c r="AW172" s="67"/>
      <c r="AX172" s="75"/>
      <c r="AY172" s="123"/>
      <c r="AZ172" s="67"/>
      <c r="BA172" s="138"/>
      <c r="BB172" s="67"/>
      <c r="BC172" s="67"/>
      <c r="BD172" s="67"/>
      <c r="BE172" s="67"/>
      <c r="BF172" s="67"/>
      <c r="BG172" s="67"/>
      <c r="BH172" s="67"/>
      <c r="BI172" s="67"/>
      <c r="BJ172" s="67"/>
      <c r="BK172" s="67"/>
      <c r="BL172" s="67"/>
      <c r="BM172" s="70"/>
      <c r="BN172" s="70"/>
      <c r="BO172" s="70"/>
      <c r="BP172" s="70"/>
      <c r="BQ172" s="70"/>
      <c r="BR172" s="70"/>
      <c r="BS172" s="70"/>
      <c r="BT172" s="70"/>
      <c r="BU172" s="70"/>
      <c r="BV172" s="70"/>
      <c r="BW172" s="70"/>
      <c r="BX172" s="136"/>
      <c r="BY172" s="70"/>
      <c r="BZ172" s="67"/>
      <c r="CA172" s="67"/>
      <c r="CB172" s="67"/>
    </row>
    <row r="173" spans="1:80" s="28" customFormat="1" ht="16" customHeight="1">
      <c r="A173" s="39"/>
      <c r="B173" s="57"/>
      <c r="C173" s="67"/>
      <c r="D173" s="67"/>
      <c r="E173" s="39"/>
      <c r="F173" s="39"/>
      <c r="G173" s="39"/>
      <c r="H173" s="67"/>
      <c r="I173" s="60"/>
      <c r="J173" s="60"/>
      <c r="K173" s="60"/>
      <c r="L173" s="60"/>
      <c r="M173" s="60"/>
      <c r="N173" s="60"/>
      <c r="O173" s="60"/>
      <c r="P173" s="60"/>
      <c r="Q173" s="60"/>
      <c r="R173" s="60"/>
      <c r="S173" s="70"/>
      <c r="T173" s="70"/>
      <c r="U173" s="70"/>
      <c r="V173" s="70"/>
      <c r="W173" s="70"/>
      <c r="X173" s="70"/>
      <c r="Y173" s="70"/>
      <c r="Z173" s="70"/>
      <c r="AA173" s="70"/>
      <c r="AB173" s="70"/>
      <c r="AC173" s="70"/>
      <c r="AD173" s="136"/>
      <c r="AE173" s="24"/>
      <c r="AF173" s="24"/>
      <c r="AG173" s="73"/>
      <c r="AH173" s="125"/>
      <c r="AI173" s="103"/>
      <c r="AK173" s="113"/>
      <c r="AL173" s="113"/>
      <c r="AM173" s="113"/>
      <c r="AN173" s="113"/>
      <c r="AO173" s="137"/>
      <c r="AP173" s="137"/>
      <c r="AQ173" s="137"/>
      <c r="AR173" s="137"/>
      <c r="AS173" s="137"/>
      <c r="AT173" s="137"/>
      <c r="AU173" s="67"/>
      <c r="AV173" s="44"/>
      <c r="AW173" s="67"/>
      <c r="AX173" s="75"/>
      <c r="AY173" s="123"/>
      <c r="AZ173" s="67"/>
      <c r="BA173" s="138"/>
      <c r="BB173" s="67"/>
      <c r="BC173" s="67"/>
      <c r="BD173" s="67"/>
      <c r="BE173" s="67"/>
      <c r="BF173" s="67"/>
      <c r="BG173" s="67"/>
      <c r="BH173" s="67"/>
      <c r="BI173" s="67"/>
      <c r="BJ173" s="67"/>
      <c r="BK173" s="67"/>
      <c r="BL173" s="67"/>
      <c r="BM173" s="70"/>
      <c r="BN173" s="70"/>
      <c r="BO173" s="70"/>
      <c r="BP173" s="70"/>
      <c r="BQ173" s="70"/>
      <c r="BR173" s="70"/>
      <c r="BS173" s="70"/>
      <c r="BT173" s="70"/>
      <c r="BU173" s="70"/>
      <c r="BV173" s="70"/>
      <c r="BW173" s="70"/>
      <c r="BX173" s="136"/>
      <c r="BY173" s="70"/>
      <c r="BZ173" s="67"/>
      <c r="CA173" s="67"/>
      <c r="CB173" s="67"/>
    </row>
    <row r="174" spans="1:80" s="28" customFormat="1" ht="16" customHeight="1">
      <c r="A174" s="39"/>
      <c r="B174" s="57"/>
      <c r="C174" s="67"/>
      <c r="D174" s="67"/>
      <c r="E174" s="39"/>
      <c r="F174" s="39"/>
      <c r="G174" s="39"/>
      <c r="H174" s="67"/>
      <c r="I174" s="60"/>
      <c r="J174" s="60"/>
      <c r="K174" s="60"/>
      <c r="L174" s="60"/>
      <c r="M174" s="60"/>
      <c r="N174" s="60"/>
      <c r="O174" s="60"/>
      <c r="P174" s="60"/>
      <c r="Q174" s="60"/>
      <c r="R174" s="60"/>
      <c r="S174" s="70"/>
      <c r="T174" s="70"/>
      <c r="U174" s="70"/>
      <c r="V174" s="70"/>
      <c r="W174" s="70"/>
      <c r="X174" s="70"/>
      <c r="Y174" s="70"/>
      <c r="Z174" s="70"/>
      <c r="AA174" s="70"/>
      <c r="AB174" s="70"/>
      <c r="AC174" s="70"/>
      <c r="AD174" s="136"/>
      <c r="AE174" s="24"/>
      <c r="AF174" s="24"/>
      <c r="AG174" s="73"/>
      <c r="AH174" s="125"/>
      <c r="AI174" s="103"/>
      <c r="AK174" s="113"/>
      <c r="AL174" s="113"/>
      <c r="AM174" s="113"/>
      <c r="AN174" s="113"/>
      <c r="AO174" s="137"/>
      <c r="AP174" s="137"/>
      <c r="AQ174" s="137"/>
      <c r="AR174" s="137"/>
      <c r="AS174" s="137"/>
      <c r="AT174" s="137"/>
      <c r="AU174" s="67"/>
      <c r="AV174" s="44"/>
      <c r="AW174" s="67"/>
      <c r="AX174" s="75"/>
      <c r="AY174" s="123"/>
      <c r="AZ174" s="67"/>
      <c r="BA174" s="138"/>
      <c r="BB174" s="67"/>
      <c r="BC174" s="67"/>
      <c r="BD174" s="67"/>
      <c r="BE174" s="67"/>
      <c r="BF174" s="67"/>
      <c r="BG174" s="67"/>
      <c r="BH174" s="67"/>
      <c r="BI174" s="67"/>
      <c r="BJ174" s="67"/>
      <c r="BK174" s="67"/>
      <c r="BL174" s="67"/>
      <c r="BM174" s="70"/>
      <c r="BN174" s="70"/>
      <c r="BO174" s="70"/>
      <c r="BP174" s="70"/>
      <c r="BQ174" s="70"/>
      <c r="BR174" s="70"/>
      <c r="BS174" s="70"/>
      <c r="BT174" s="70"/>
      <c r="BU174" s="70"/>
      <c r="BV174" s="70"/>
      <c r="BW174" s="70"/>
      <c r="BX174" s="136"/>
      <c r="BY174" s="70"/>
      <c r="BZ174" s="67"/>
      <c r="CA174" s="67"/>
      <c r="CB174" s="67"/>
    </row>
    <row r="175" spans="1:80" s="28" customFormat="1" ht="16" customHeight="1">
      <c r="A175" s="39"/>
      <c r="B175" s="57"/>
      <c r="C175" s="67"/>
      <c r="D175" s="67"/>
      <c r="E175" s="39"/>
      <c r="F175" s="39"/>
      <c r="G175" s="39"/>
      <c r="H175" s="67"/>
      <c r="I175" s="60"/>
      <c r="J175" s="60"/>
      <c r="K175" s="60"/>
      <c r="L175" s="60"/>
      <c r="M175" s="60"/>
      <c r="N175" s="60"/>
      <c r="O175" s="60"/>
      <c r="P175" s="60"/>
      <c r="Q175" s="60"/>
      <c r="R175" s="60"/>
      <c r="S175" s="70"/>
      <c r="T175" s="70"/>
      <c r="U175" s="70"/>
      <c r="V175" s="70"/>
      <c r="W175" s="70"/>
      <c r="X175" s="70"/>
      <c r="Y175" s="70"/>
      <c r="Z175" s="70"/>
      <c r="AA175" s="70"/>
      <c r="AB175" s="70"/>
      <c r="AC175" s="70"/>
      <c r="AD175" s="136"/>
      <c r="AE175" s="24"/>
      <c r="AF175" s="24"/>
      <c r="AG175" s="73"/>
      <c r="AH175" s="125"/>
      <c r="AI175" s="103"/>
      <c r="AK175" s="113"/>
      <c r="AL175" s="113"/>
      <c r="AM175" s="113"/>
      <c r="AN175" s="113"/>
      <c r="AO175" s="137"/>
      <c r="AP175" s="137"/>
      <c r="AQ175" s="137"/>
      <c r="AR175" s="137"/>
      <c r="AS175" s="137"/>
      <c r="AT175" s="137"/>
      <c r="AU175" s="67"/>
      <c r="AV175" s="44"/>
      <c r="AW175" s="67"/>
      <c r="AX175" s="75"/>
      <c r="AY175" s="123"/>
      <c r="AZ175" s="67"/>
      <c r="BA175" s="138"/>
      <c r="BB175" s="67"/>
      <c r="BC175" s="67"/>
      <c r="BD175" s="67"/>
      <c r="BE175" s="67"/>
      <c r="BF175" s="67"/>
      <c r="BG175" s="67"/>
      <c r="BH175" s="67"/>
      <c r="BI175" s="67"/>
      <c r="BJ175" s="67"/>
      <c r="BK175" s="67"/>
      <c r="BL175" s="67"/>
      <c r="BM175" s="70"/>
      <c r="BN175" s="70"/>
      <c r="BO175" s="70"/>
      <c r="BP175" s="70"/>
      <c r="BQ175" s="70"/>
      <c r="BR175" s="70"/>
      <c r="BS175" s="70"/>
      <c r="BT175" s="70"/>
      <c r="BU175" s="70"/>
      <c r="BV175" s="70"/>
      <c r="BW175" s="70"/>
      <c r="BX175" s="136"/>
      <c r="BY175" s="70"/>
      <c r="BZ175" s="67"/>
      <c r="CA175" s="67"/>
      <c r="CB175" s="67"/>
    </row>
    <row r="176" spans="1:80" s="28" customFormat="1" ht="16" customHeight="1">
      <c r="A176" s="39"/>
      <c r="B176" s="57"/>
      <c r="C176" s="67"/>
      <c r="D176" s="67"/>
      <c r="E176" s="39"/>
      <c r="F176" s="39"/>
      <c r="G176" s="39"/>
      <c r="H176" s="67"/>
      <c r="I176" s="60"/>
      <c r="J176" s="60"/>
      <c r="K176" s="60"/>
      <c r="L176" s="60"/>
      <c r="M176" s="60"/>
      <c r="N176" s="60"/>
      <c r="O176" s="60"/>
      <c r="P176" s="60"/>
      <c r="Q176" s="60"/>
      <c r="R176" s="60"/>
      <c r="S176" s="70"/>
      <c r="T176" s="70"/>
      <c r="U176" s="70"/>
      <c r="V176" s="70"/>
      <c r="W176" s="70"/>
      <c r="X176" s="70"/>
      <c r="Y176" s="70"/>
      <c r="Z176" s="70"/>
      <c r="AA176" s="70"/>
      <c r="AB176" s="70"/>
      <c r="AC176" s="70"/>
      <c r="AD176" s="136"/>
      <c r="AE176" s="24"/>
      <c r="AF176" s="24"/>
      <c r="AG176" s="73"/>
      <c r="AH176" s="125"/>
      <c r="AI176" s="103"/>
      <c r="AK176" s="113"/>
      <c r="AL176" s="113"/>
      <c r="AM176" s="113"/>
      <c r="AN176" s="113"/>
      <c r="AO176" s="137"/>
      <c r="AP176" s="137"/>
      <c r="AQ176" s="137"/>
      <c r="AR176" s="137"/>
      <c r="AS176" s="137"/>
      <c r="AT176" s="137"/>
      <c r="AU176" s="67"/>
      <c r="AV176" s="44"/>
      <c r="AW176" s="67"/>
      <c r="AX176" s="75"/>
      <c r="AY176" s="123"/>
      <c r="AZ176" s="67"/>
      <c r="BA176" s="138"/>
      <c r="BB176" s="67"/>
      <c r="BC176" s="67"/>
      <c r="BD176" s="67"/>
      <c r="BE176" s="67"/>
      <c r="BF176" s="67"/>
      <c r="BG176" s="67"/>
      <c r="BH176" s="67"/>
      <c r="BI176" s="67"/>
      <c r="BJ176" s="67"/>
      <c r="BK176" s="67"/>
      <c r="BL176" s="67"/>
      <c r="BM176" s="70"/>
      <c r="BN176" s="70"/>
      <c r="BO176" s="70"/>
      <c r="BP176" s="70"/>
      <c r="BQ176" s="70"/>
      <c r="BR176" s="70"/>
      <c r="BS176" s="70"/>
      <c r="BT176" s="70"/>
      <c r="BU176" s="70"/>
      <c r="BV176" s="70"/>
      <c r="BW176" s="70"/>
      <c r="BX176" s="136"/>
      <c r="BY176" s="70"/>
      <c r="BZ176" s="67"/>
      <c r="CA176" s="67"/>
      <c r="CB176" s="67"/>
    </row>
    <row r="177" spans="1:80" s="28" customFormat="1" ht="16" customHeight="1">
      <c r="A177" s="39"/>
      <c r="B177" s="57"/>
      <c r="C177" s="67"/>
      <c r="D177" s="67"/>
      <c r="E177" s="39"/>
      <c r="F177" s="39"/>
      <c r="G177" s="39"/>
      <c r="H177" s="67"/>
      <c r="I177" s="60"/>
      <c r="J177" s="60"/>
      <c r="K177" s="60"/>
      <c r="L177" s="60"/>
      <c r="M177" s="60"/>
      <c r="N177" s="60"/>
      <c r="O177" s="60"/>
      <c r="P177" s="60"/>
      <c r="Q177" s="60"/>
      <c r="R177" s="60"/>
      <c r="S177" s="70"/>
      <c r="T177" s="70"/>
      <c r="U177" s="70"/>
      <c r="V177" s="70"/>
      <c r="W177" s="70"/>
      <c r="X177" s="70"/>
      <c r="Y177" s="70"/>
      <c r="Z177" s="70"/>
      <c r="AA177" s="70"/>
      <c r="AB177" s="70"/>
      <c r="AC177" s="70"/>
      <c r="AD177" s="136"/>
      <c r="AE177" s="24"/>
      <c r="AF177" s="24"/>
      <c r="AG177" s="73"/>
      <c r="AH177" s="125"/>
      <c r="AI177" s="103"/>
      <c r="AK177" s="113"/>
      <c r="AL177" s="113"/>
      <c r="AM177" s="113"/>
      <c r="AN177" s="113"/>
      <c r="AO177" s="137"/>
      <c r="AP177" s="137"/>
      <c r="AQ177" s="137"/>
      <c r="AR177" s="137"/>
      <c r="AS177" s="137"/>
      <c r="AT177" s="137"/>
      <c r="AU177" s="67"/>
      <c r="AV177" s="44"/>
      <c r="AW177" s="67"/>
      <c r="AX177" s="75"/>
      <c r="AY177" s="123"/>
      <c r="AZ177" s="67"/>
      <c r="BA177" s="138"/>
      <c r="BB177" s="67"/>
      <c r="BC177" s="67"/>
      <c r="BD177" s="67"/>
      <c r="BE177" s="67"/>
      <c r="BF177" s="67"/>
      <c r="BG177" s="67"/>
      <c r="BH177" s="67"/>
      <c r="BI177" s="67"/>
      <c r="BJ177" s="67"/>
      <c r="BK177" s="67"/>
      <c r="BL177" s="67"/>
      <c r="BM177" s="70"/>
      <c r="BN177" s="70"/>
      <c r="BO177" s="70"/>
      <c r="BP177" s="70"/>
      <c r="BQ177" s="70"/>
      <c r="BR177" s="70"/>
      <c r="BS177" s="70"/>
      <c r="BT177" s="70"/>
      <c r="BU177" s="70"/>
      <c r="BV177" s="70"/>
      <c r="BW177" s="70"/>
      <c r="BX177" s="136"/>
      <c r="BY177" s="70"/>
      <c r="BZ177" s="67"/>
      <c r="CA177" s="67"/>
      <c r="CB177" s="67"/>
    </row>
    <row r="178" spans="1:80" s="28" customFormat="1" ht="16" customHeight="1">
      <c r="A178" s="39"/>
      <c r="B178" s="57"/>
      <c r="C178" s="67"/>
      <c r="D178" s="67"/>
      <c r="E178" s="39"/>
      <c r="F178" s="39"/>
      <c r="G178" s="39"/>
      <c r="H178" s="67"/>
      <c r="I178" s="60"/>
      <c r="J178" s="60"/>
      <c r="K178" s="60"/>
      <c r="L178" s="60"/>
      <c r="M178" s="60"/>
      <c r="N178" s="60"/>
      <c r="O178" s="60"/>
      <c r="P178" s="60"/>
      <c r="Q178" s="60"/>
      <c r="R178" s="60"/>
      <c r="S178" s="70"/>
      <c r="T178" s="70"/>
      <c r="U178" s="70"/>
      <c r="V178" s="70"/>
      <c r="W178" s="70"/>
      <c r="X178" s="70"/>
      <c r="Y178" s="70"/>
      <c r="Z178" s="70"/>
      <c r="AA178" s="70"/>
      <c r="AB178" s="70"/>
      <c r="AC178" s="70"/>
      <c r="AD178" s="136"/>
      <c r="AE178" s="24"/>
      <c r="AF178" s="24"/>
      <c r="AG178" s="73"/>
      <c r="AH178" s="125"/>
      <c r="AI178" s="103"/>
      <c r="AK178" s="113"/>
      <c r="AL178" s="113"/>
      <c r="AM178" s="113"/>
      <c r="AN178" s="113"/>
      <c r="AO178" s="137"/>
      <c r="AP178" s="137"/>
      <c r="AQ178" s="137"/>
      <c r="AR178" s="137"/>
      <c r="AS178" s="137"/>
      <c r="AT178" s="137"/>
      <c r="AU178" s="67"/>
      <c r="AV178" s="44"/>
      <c r="AW178" s="67"/>
      <c r="AX178" s="75"/>
      <c r="AY178" s="123"/>
      <c r="AZ178" s="67"/>
      <c r="BA178" s="138"/>
      <c r="BB178" s="67"/>
      <c r="BC178" s="67"/>
      <c r="BD178" s="67"/>
      <c r="BE178" s="67"/>
      <c r="BF178" s="67"/>
      <c r="BG178" s="67"/>
      <c r="BH178" s="67"/>
      <c r="BI178" s="67"/>
      <c r="BJ178" s="67"/>
      <c r="BK178" s="67"/>
      <c r="BL178" s="67"/>
      <c r="BM178" s="70"/>
      <c r="BN178" s="70"/>
      <c r="BO178" s="70"/>
      <c r="BP178" s="70"/>
      <c r="BQ178" s="70"/>
      <c r="BR178" s="70"/>
      <c r="BS178" s="70"/>
      <c r="BT178" s="70"/>
      <c r="BU178" s="70"/>
      <c r="BV178" s="70"/>
      <c r="BW178" s="70"/>
      <c r="BX178" s="136"/>
      <c r="BY178" s="70"/>
      <c r="BZ178" s="67"/>
      <c r="CA178" s="67"/>
      <c r="CB178" s="67"/>
    </row>
    <row r="179" spans="1:80" s="28" customFormat="1" ht="16" customHeight="1">
      <c r="A179" s="39"/>
      <c r="B179" s="57"/>
      <c r="C179" s="67"/>
      <c r="D179" s="67"/>
      <c r="E179" s="39"/>
      <c r="F179" s="39"/>
      <c r="G179" s="39"/>
      <c r="H179" s="67"/>
      <c r="I179" s="60"/>
      <c r="J179" s="60"/>
      <c r="K179" s="60"/>
      <c r="L179" s="60"/>
      <c r="M179" s="60"/>
      <c r="N179" s="60"/>
      <c r="O179" s="60"/>
      <c r="P179" s="60"/>
      <c r="Q179" s="60"/>
      <c r="R179" s="60"/>
      <c r="S179" s="70"/>
      <c r="T179" s="70"/>
      <c r="U179" s="70"/>
      <c r="V179" s="70"/>
      <c r="W179" s="70"/>
      <c r="X179" s="70"/>
      <c r="Y179" s="70"/>
      <c r="Z179" s="70"/>
      <c r="AA179" s="70"/>
      <c r="AB179" s="70"/>
      <c r="AC179" s="70"/>
      <c r="AD179" s="136"/>
      <c r="AE179" s="24"/>
      <c r="AF179" s="24"/>
      <c r="AG179" s="73"/>
      <c r="AH179" s="125"/>
      <c r="AI179" s="103"/>
      <c r="AK179" s="113"/>
      <c r="AL179" s="113"/>
      <c r="AM179" s="113"/>
      <c r="AN179" s="113"/>
      <c r="AO179" s="137"/>
      <c r="AP179" s="137"/>
      <c r="AQ179" s="137"/>
      <c r="AR179" s="137"/>
      <c r="AS179" s="137"/>
      <c r="AT179" s="137"/>
      <c r="AU179" s="67"/>
      <c r="AV179" s="44"/>
      <c r="AW179" s="67"/>
      <c r="AX179" s="75"/>
      <c r="AY179" s="123"/>
      <c r="AZ179" s="67"/>
      <c r="BA179" s="138"/>
      <c r="BB179" s="67"/>
      <c r="BC179" s="67"/>
      <c r="BD179" s="67"/>
      <c r="BE179" s="67"/>
      <c r="BF179" s="67"/>
      <c r="BG179" s="67"/>
      <c r="BH179" s="67"/>
      <c r="BI179" s="67"/>
      <c r="BJ179" s="67"/>
      <c r="BK179" s="67"/>
      <c r="BL179" s="67"/>
      <c r="BM179" s="70"/>
      <c r="BN179" s="70"/>
      <c r="BO179" s="70"/>
      <c r="BP179" s="70"/>
      <c r="BQ179" s="70"/>
      <c r="BR179" s="70"/>
      <c r="BS179" s="70"/>
      <c r="BT179" s="70"/>
      <c r="BU179" s="70"/>
      <c r="BV179" s="70"/>
      <c r="BW179" s="70"/>
      <c r="BX179" s="136"/>
      <c r="BY179" s="70"/>
      <c r="BZ179" s="67"/>
      <c r="CA179" s="67"/>
      <c r="CB179" s="67"/>
    </row>
    <row r="180" spans="1:80" s="28" customFormat="1" ht="16" customHeight="1">
      <c r="A180" s="39"/>
      <c r="B180" s="57"/>
      <c r="C180" s="67"/>
      <c r="D180" s="67"/>
      <c r="E180" s="39"/>
      <c r="F180" s="39"/>
      <c r="G180" s="39"/>
      <c r="H180" s="67"/>
      <c r="I180" s="60"/>
      <c r="J180" s="60"/>
      <c r="K180" s="60"/>
      <c r="L180" s="60"/>
      <c r="M180" s="60"/>
      <c r="N180" s="60"/>
      <c r="O180" s="60"/>
      <c r="P180" s="60"/>
      <c r="Q180" s="60"/>
      <c r="R180" s="60"/>
      <c r="S180" s="70"/>
      <c r="T180" s="70"/>
      <c r="U180" s="70"/>
      <c r="V180" s="70"/>
      <c r="W180" s="70"/>
      <c r="X180" s="70"/>
      <c r="Y180" s="70"/>
      <c r="Z180" s="70"/>
      <c r="AA180" s="70"/>
      <c r="AB180" s="70"/>
      <c r="AC180" s="70"/>
      <c r="AD180" s="136"/>
      <c r="AE180" s="24"/>
      <c r="AF180" s="24"/>
      <c r="AG180" s="73"/>
      <c r="AH180" s="125"/>
      <c r="AI180" s="103"/>
      <c r="AK180" s="113"/>
      <c r="AL180" s="113"/>
      <c r="AM180" s="113"/>
      <c r="AN180" s="113"/>
      <c r="AO180" s="137"/>
      <c r="AP180" s="137"/>
      <c r="AQ180" s="137"/>
      <c r="AR180" s="137"/>
      <c r="AS180" s="137"/>
      <c r="AT180" s="137"/>
      <c r="AU180" s="67"/>
      <c r="AV180" s="44"/>
      <c r="AW180" s="67"/>
      <c r="AX180" s="75"/>
      <c r="AY180" s="123"/>
      <c r="AZ180" s="67"/>
      <c r="BA180" s="138"/>
      <c r="BB180" s="67"/>
      <c r="BC180" s="67"/>
      <c r="BD180" s="67"/>
      <c r="BE180" s="67"/>
      <c r="BF180" s="67"/>
      <c r="BG180" s="67"/>
      <c r="BH180" s="67"/>
      <c r="BI180" s="67"/>
      <c r="BJ180" s="67"/>
      <c r="BK180" s="67"/>
      <c r="BL180" s="67"/>
      <c r="BM180" s="70"/>
      <c r="BN180" s="70"/>
      <c r="BO180" s="70"/>
      <c r="BP180" s="70"/>
      <c r="BQ180" s="70"/>
      <c r="BR180" s="70"/>
      <c r="BS180" s="70"/>
      <c r="BT180" s="70"/>
      <c r="BU180" s="70"/>
      <c r="BV180" s="70"/>
      <c r="BW180" s="70"/>
      <c r="BX180" s="136"/>
      <c r="BY180" s="70"/>
      <c r="BZ180" s="67"/>
      <c r="CA180" s="67"/>
      <c r="CB180" s="67"/>
    </row>
    <row r="181" spans="1:80" s="28" customFormat="1" ht="16" customHeight="1">
      <c r="A181" s="39"/>
      <c r="B181" s="57"/>
      <c r="C181" s="67"/>
      <c r="D181" s="67"/>
      <c r="E181" s="39"/>
      <c r="F181" s="39"/>
      <c r="G181" s="39"/>
      <c r="H181" s="67"/>
      <c r="I181" s="60"/>
      <c r="J181" s="60"/>
      <c r="K181" s="60"/>
      <c r="L181" s="60"/>
      <c r="M181" s="60"/>
      <c r="N181" s="60"/>
      <c r="O181" s="60"/>
      <c r="P181" s="60"/>
      <c r="Q181" s="60"/>
      <c r="R181" s="60"/>
      <c r="S181" s="70"/>
      <c r="T181" s="70"/>
      <c r="U181" s="70"/>
      <c r="V181" s="70"/>
      <c r="W181" s="70"/>
      <c r="X181" s="70"/>
      <c r="Y181" s="70"/>
      <c r="Z181" s="70"/>
      <c r="AA181" s="70"/>
      <c r="AB181" s="70"/>
      <c r="AC181" s="70"/>
      <c r="AD181" s="136"/>
      <c r="AE181" s="24"/>
      <c r="AF181" s="24"/>
      <c r="AG181" s="73"/>
      <c r="AH181" s="125"/>
      <c r="AI181" s="103"/>
      <c r="AK181" s="113"/>
      <c r="AL181" s="113"/>
      <c r="AM181" s="113"/>
      <c r="AN181" s="113"/>
      <c r="AO181" s="137"/>
      <c r="AP181" s="137"/>
      <c r="AQ181" s="137"/>
      <c r="AR181" s="137"/>
      <c r="AS181" s="137"/>
      <c r="AT181" s="137"/>
      <c r="AU181" s="67"/>
      <c r="AV181" s="44"/>
      <c r="AW181" s="67"/>
      <c r="AX181" s="75"/>
      <c r="AY181" s="123"/>
      <c r="AZ181" s="67"/>
      <c r="BA181" s="138"/>
      <c r="BB181" s="67"/>
      <c r="BC181" s="67"/>
      <c r="BD181" s="67"/>
      <c r="BE181" s="67"/>
      <c r="BF181" s="67"/>
      <c r="BG181" s="67"/>
      <c r="BH181" s="67"/>
      <c r="BI181" s="67"/>
      <c r="BJ181" s="67"/>
      <c r="BK181" s="67"/>
      <c r="BL181" s="67"/>
      <c r="BM181" s="70"/>
      <c r="BN181" s="70"/>
      <c r="BO181" s="70"/>
      <c r="BP181" s="70"/>
      <c r="BQ181" s="70"/>
      <c r="BR181" s="70"/>
      <c r="BS181" s="70"/>
      <c r="BT181" s="70"/>
      <c r="BU181" s="70"/>
      <c r="BV181" s="70"/>
      <c r="BW181" s="70"/>
      <c r="BX181" s="136"/>
      <c r="BY181" s="70"/>
      <c r="BZ181" s="67"/>
      <c r="CA181" s="67"/>
      <c r="CB181" s="67"/>
    </row>
    <row r="182" spans="1:80" s="28" customFormat="1" ht="16" customHeight="1">
      <c r="A182" s="39"/>
      <c r="B182" s="57"/>
      <c r="C182" s="67"/>
      <c r="D182" s="67"/>
      <c r="E182" s="39"/>
      <c r="F182" s="39"/>
      <c r="G182" s="39"/>
      <c r="H182" s="67"/>
      <c r="I182" s="60"/>
      <c r="J182" s="60"/>
      <c r="K182" s="60"/>
      <c r="L182" s="60"/>
      <c r="M182" s="60"/>
      <c r="N182" s="60"/>
      <c r="O182" s="60"/>
      <c r="P182" s="60"/>
      <c r="Q182" s="60"/>
      <c r="R182" s="60"/>
      <c r="S182" s="70"/>
      <c r="T182" s="70"/>
      <c r="U182" s="70"/>
      <c r="V182" s="70"/>
      <c r="W182" s="70"/>
      <c r="X182" s="70"/>
      <c r="Y182" s="70"/>
      <c r="Z182" s="70"/>
      <c r="AA182" s="70"/>
      <c r="AB182" s="70"/>
      <c r="AC182" s="70"/>
      <c r="AD182" s="136"/>
      <c r="AE182" s="24"/>
      <c r="AF182" s="24"/>
      <c r="AG182" s="73"/>
      <c r="AH182" s="125"/>
      <c r="AI182" s="103"/>
      <c r="AK182" s="113"/>
      <c r="AL182" s="113"/>
      <c r="AM182" s="113"/>
      <c r="AN182" s="113"/>
      <c r="AO182" s="137"/>
      <c r="AP182" s="137"/>
      <c r="AQ182" s="137"/>
      <c r="AR182" s="137"/>
      <c r="AS182" s="137"/>
      <c r="AT182" s="137"/>
      <c r="AU182" s="67"/>
      <c r="AV182" s="44"/>
      <c r="AW182" s="67"/>
      <c r="AX182" s="75"/>
      <c r="AY182" s="123"/>
      <c r="AZ182" s="67"/>
      <c r="BA182" s="138"/>
      <c r="BB182" s="67"/>
      <c r="BC182" s="67"/>
      <c r="BD182" s="67"/>
      <c r="BE182" s="67"/>
      <c r="BF182" s="67"/>
      <c r="BG182" s="67"/>
      <c r="BH182" s="67"/>
      <c r="BI182" s="67"/>
      <c r="BJ182" s="67"/>
      <c r="BK182" s="67"/>
      <c r="BL182" s="67"/>
      <c r="BM182" s="70"/>
      <c r="BN182" s="70"/>
      <c r="BO182" s="70"/>
      <c r="BP182" s="70"/>
      <c r="BQ182" s="70"/>
      <c r="BR182" s="70"/>
      <c r="BS182" s="70"/>
      <c r="BT182" s="70"/>
      <c r="BU182" s="70"/>
      <c r="BV182" s="70"/>
      <c r="BW182" s="70"/>
      <c r="BX182" s="136"/>
      <c r="BY182" s="70"/>
      <c r="BZ182" s="67"/>
      <c r="CA182" s="67"/>
      <c r="CB182" s="67"/>
    </row>
    <row r="183" spans="1:80" s="28" customFormat="1" ht="16" customHeight="1">
      <c r="A183" s="39"/>
      <c r="B183" s="57"/>
      <c r="C183" s="67"/>
      <c r="D183" s="67"/>
      <c r="E183" s="39"/>
      <c r="F183" s="39"/>
      <c r="G183" s="39"/>
      <c r="H183" s="67"/>
      <c r="I183" s="60"/>
      <c r="J183" s="60"/>
      <c r="K183" s="60"/>
      <c r="L183" s="60"/>
      <c r="M183" s="60"/>
      <c r="N183" s="60"/>
      <c r="O183" s="60"/>
      <c r="P183" s="60"/>
      <c r="Q183" s="60"/>
      <c r="R183" s="60"/>
      <c r="S183" s="70"/>
      <c r="T183" s="70"/>
      <c r="U183" s="70"/>
      <c r="V183" s="70"/>
      <c r="W183" s="70"/>
      <c r="X183" s="70"/>
      <c r="Y183" s="70"/>
      <c r="Z183" s="70"/>
      <c r="AA183" s="70"/>
      <c r="AB183" s="70"/>
      <c r="AC183" s="70"/>
      <c r="AD183" s="136"/>
      <c r="AE183" s="24"/>
      <c r="AF183" s="24"/>
      <c r="AG183" s="73"/>
      <c r="AH183" s="125"/>
      <c r="AI183" s="103"/>
      <c r="AK183" s="113"/>
      <c r="AL183" s="113"/>
      <c r="AM183" s="113"/>
      <c r="AN183" s="113"/>
      <c r="AO183" s="137"/>
      <c r="AP183" s="137"/>
      <c r="AQ183" s="137"/>
      <c r="AR183" s="137"/>
      <c r="AS183" s="137"/>
      <c r="AT183" s="137"/>
      <c r="AU183" s="67"/>
      <c r="AV183" s="44"/>
      <c r="AW183" s="67"/>
      <c r="AX183" s="75"/>
      <c r="AY183" s="123"/>
      <c r="AZ183" s="67"/>
      <c r="BA183" s="138"/>
      <c r="BB183" s="67"/>
      <c r="BC183" s="67"/>
      <c r="BD183" s="67"/>
      <c r="BE183" s="67"/>
      <c r="BF183" s="67"/>
      <c r="BG183" s="67"/>
      <c r="BH183" s="67"/>
      <c r="BI183" s="67"/>
      <c r="BJ183" s="67"/>
      <c r="BK183" s="67"/>
      <c r="BL183" s="67"/>
      <c r="BM183" s="70"/>
      <c r="BN183" s="70"/>
      <c r="BO183" s="70"/>
      <c r="BP183" s="70"/>
      <c r="BQ183" s="70"/>
      <c r="BR183" s="70"/>
      <c r="BS183" s="70"/>
      <c r="BT183" s="70"/>
      <c r="BU183" s="70"/>
      <c r="BV183" s="70"/>
      <c r="BW183" s="70"/>
      <c r="BX183" s="136"/>
      <c r="BY183" s="70"/>
      <c r="BZ183" s="67"/>
      <c r="CA183" s="67"/>
      <c r="CB183" s="67"/>
    </row>
    <row r="184" spans="1:80" s="28" customFormat="1" ht="16" customHeight="1">
      <c r="A184" s="39"/>
      <c r="B184" s="57"/>
      <c r="C184" s="67"/>
      <c r="D184" s="67"/>
      <c r="E184" s="39"/>
      <c r="F184" s="39"/>
      <c r="G184" s="39"/>
      <c r="H184" s="67"/>
      <c r="I184" s="60"/>
      <c r="J184" s="60"/>
      <c r="K184" s="60"/>
      <c r="L184" s="60"/>
      <c r="M184" s="60"/>
      <c r="N184" s="60"/>
      <c r="O184" s="60"/>
      <c r="P184" s="60"/>
      <c r="Q184" s="60"/>
      <c r="R184" s="60"/>
      <c r="S184" s="70"/>
      <c r="T184" s="70"/>
      <c r="U184" s="70"/>
      <c r="V184" s="70"/>
      <c r="W184" s="70"/>
      <c r="X184" s="70"/>
      <c r="Y184" s="70"/>
      <c r="Z184" s="70"/>
      <c r="AA184" s="70"/>
      <c r="AB184" s="70"/>
      <c r="AC184" s="70"/>
      <c r="AD184" s="136"/>
      <c r="AE184" s="24"/>
      <c r="AF184" s="24"/>
      <c r="AG184" s="73"/>
      <c r="AH184" s="125"/>
      <c r="AI184" s="103"/>
      <c r="AK184" s="113"/>
      <c r="AL184" s="113"/>
      <c r="AM184" s="113"/>
      <c r="AN184" s="113"/>
      <c r="AO184" s="137"/>
      <c r="AP184" s="137"/>
      <c r="AQ184" s="137"/>
      <c r="AR184" s="137"/>
      <c r="AS184" s="137"/>
      <c r="AT184" s="137"/>
      <c r="AU184" s="67"/>
      <c r="AV184" s="44"/>
      <c r="AW184" s="67"/>
      <c r="AX184" s="75"/>
      <c r="AY184" s="123"/>
      <c r="AZ184" s="67"/>
      <c r="BA184" s="138"/>
      <c r="BB184" s="67"/>
      <c r="BC184" s="67"/>
      <c r="BD184" s="67"/>
      <c r="BE184" s="67"/>
      <c r="BF184" s="67"/>
      <c r="BG184" s="67"/>
      <c r="BH184" s="67"/>
      <c r="BI184" s="67"/>
      <c r="BJ184" s="67"/>
      <c r="BK184" s="67"/>
      <c r="BL184" s="67"/>
      <c r="BM184" s="70"/>
      <c r="BN184" s="70"/>
      <c r="BO184" s="70"/>
      <c r="BP184" s="70"/>
      <c r="BQ184" s="70"/>
      <c r="BR184" s="70"/>
      <c r="BS184" s="70"/>
      <c r="BT184" s="70"/>
      <c r="BU184" s="70"/>
      <c r="BV184" s="70"/>
      <c r="BW184" s="70"/>
      <c r="BX184" s="136"/>
      <c r="BY184" s="70"/>
      <c r="BZ184" s="67"/>
      <c r="CA184" s="67"/>
      <c r="CB184" s="67"/>
    </row>
    <row r="185" spans="1:80" s="28" customFormat="1" ht="16" customHeight="1">
      <c r="A185" s="39"/>
      <c r="B185" s="57"/>
      <c r="C185" s="67"/>
      <c r="D185" s="67"/>
      <c r="E185" s="39"/>
      <c r="F185" s="39"/>
      <c r="G185" s="39"/>
      <c r="H185" s="67"/>
      <c r="I185" s="60"/>
      <c r="J185" s="60"/>
      <c r="K185" s="60"/>
      <c r="L185" s="60"/>
      <c r="M185" s="60"/>
      <c r="N185" s="60"/>
      <c r="O185" s="60"/>
      <c r="P185" s="60"/>
      <c r="Q185" s="60"/>
      <c r="R185" s="60"/>
      <c r="S185" s="70"/>
      <c r="T185" s="70"/>
      <c r="U185" s="70"/>
      <c r="V185" s="70"/>
      <c r="W185" s="70"/>
      <c r="X185" s="70"/>
      <c r="Y185" s="70"/>
      <c r="Z185" s="70"/>
      <c r="AA185" s="70"/>
      <c r="AB185" s="70"/>
      <c r="AC185" s="70"/>
      <c r="AD185" s="136"/>
      <c r="AE185" s="24"/>
      <c r="AF185" s="24"/>
      <c r="AG185" s="73"/>
      <c r="AH185" s="125"/>
      <c r="AI185" s="103"/>
      <c r="AK185" s="113"/>
      <c r="AL185" s="113"/>
      <c r="AM185" s="113"/>
      <c r="AN185" s="113"/>
      <c r="AO185" s="137"/>
      <c r="AP185" s="137"/>
      <c r="AQ185" s="137"/>
      <c r="AR185" s="137"/>
      <c r="AS185" s="137"/>
      <c r="AT185" s="137"/>
      <c r="AU185" s="67"/>
      <c r="AV185" s="44"/>
      <c r="AW185" s="67"/>
      <c r="AX185" s="75"/>
      <c r="AY185" s="123"/>
      <c r="AZ185" s="67"/>
      <c r="BA185" s="138"/>
      <c r="BB185" s="67"/>
      <c r="BC185" s="67"/>
      <c r="BD185" s="67"/>
      <c r="BE185" s="67"/>
      <c r="BF185" s="67"/>
      <c r="BG185" s="67"/>
      <c r="BH185" s="67"/>
      <c r="BI185" s="67"/>
      <c r="BJ185" s="67"/>
      <c r="BK185" s="67"/>
      <c r="BL185" s="67"/>
      <c r="BM185" s="70"/>
      <c r="BN185" s="70"/>
      <c r="BO185" s="70"/>
      <c r="BP185" s="70"/>
      <c r="BQ185" s="70"/>
      <c r="BR185" s="70"/>
      <c r="BS185" s="70"/>
      <c r="BT185" s="70"/>
      <c r="BU185" s="70"/>
      <c r="BV185" s="70"/>
      <c r="BW185" s="70"/>
      <c r="BX185" s="136"/>
      <c r="BY185" s="70"/>
      <c r="BZ185" s="67"/>
      <c r="CA185" s="67"/>
      <c r="CB185" s="67"/>
    </row>
    <row r="186" spans="1:80" s="28" customFormat="1" ht="16" customHeight="1">
      <c r="A186" s="39"/>
      <c r="B186" s="57"/>
      <c r="C186" s="67"/>
      <c r="D186" s="67"/>
      <c r="E186" s="39"/>
      <c r="F186" s="39"/>
      <c r="G186" s="39"/>
      <c r="H186" s="67"/>
      <c r="I186" s="60"/>
      <c r="J186" s="60"/>
      <c r="K186" s="60"/>
      <c r="L186" s="60"/>
      <c r="M186" s="60"/>
      <c r="N186" s="60"/>
      <c r="O186" s="60"/>
      <c r="P186" s="60"/>
      <c r="Q186" s="60"/>
      <c r="R186" s="60"/>
      <c r="S186" s="70"/>
      <c r="T186" s="70"/>
      <c r="U186" s="70"/>
      <c r="V186" s="70"/>
      <c r="W186" s="70"/>
      <c r="X186" s="70"/>
      <c r="Y186" s="70"/>
      <c r="Z186" s="70"/>
      <c r="AA186" s="70"/>
      <c r="AB186" s="70"/>
      <c r="AC186" s="70"/>
      <c r="AD186" s="136"/>
      <c r="AE186" s="24"/>
      <c r="AF186" s="24"/>
      <c r="AG186" s="73"/>
      <c r="AH186" s="125"/>
      <c r="AI186" s="103"/>
      <c r="AK186" s="113"/>
      <c r="AL186" s="113"/>
      <c r="AM186" s="113"/>
      <c r="AN186" s="113"/>
      <c r="AO186" s="137"/>
      <c r="AP186" s="137"/>
      <c r="AQ186" s="137"/>
      <c r="AR186" s="137"/>
      <c r="AS186" s="137"/>
      <c r="AT186" s="137"/>
      <c r="AU186" s="67"/>
      <c r="AV186" s="44"/>
      <c r="AW186" s="67"/>
      <c r="AX186" s="75"/>
      <c r="AY186" s="123"/>
      <c r="AZ186" s="67"/>
      <c r="BA186" s="138"/>
      <c r="BB186" s="67"/>
      <c r="BC186" s="67"/>
      <c r="BD186" s="67"/>
      <c r="BE186" s="67"/>
      <c r="BF186" s="67"/>
      <c r="BG186" s="67"/>
      <c r="BH186" s="67"/>
      <c r="BI186" s="67"/>
      <c r="BJ186" s="67"/>
      <c r="BK186" s="67"/>
      <c r="BL186" s="67"/>
      <c r="BM186" s="70"/>
      <c r="BN186" s="70"/>
      <c r="BO186" s="70"/>
      <c r="BP186" s="70"/>
      <c r="BQ186" s="70"/>
      <c r="BR186" s="70"/>
      <c r="BS186" s="70"/>
      <c r="BT186" s="70"/>
      <c r="BU186" s="70"/>
      <c r="BV186" s="70"/>
      <c r="BW186" s="70"/>
      <c r="BX186" s="136"/>
      <c r="BY186" s="70"/>
      <c r="BZ186" s="67"/>
      <c r="CA186" s="67"/>
      <c r="CB186" s="67"/>
    </row>
    <row r="187" spans="1:80" s="28" customFormat="1" ht="16" customHeight="1">
      <c r="A187" s="39"/>
      <c r="B187" s="57"/>
      <c r="C187" s="67"/>
      <c r="D187" s="67"/>
      <c r="E187" s="39"/>
      <c r="F187" s="39"/>
      <c r="G187" s="39"/>
      <c r="H187" s="67"/>
      <c r="I187" s="60"/>
      <c r="J187" s="60"/>
      <c r="K187" s="60"/>
      <c r="L187" s="60"/>
      <c r="M187" s="60"/>
      <c r="N187" s="60"/>
      <c r="O187" s="60"/>
      <c r="P187" s="60"/>
      <c r="Q187" s="60"/>
      <c r="R187" s="60"/>
      <c r="S187" s="70"/>
      <c r="T187" s="70"/>
      <c r="U187" s="70"/>
      <c r="V187" s="70"/>
      <c r="W187" s="70"/>
      <c r="X187" s="70"/>
      <c r="Y187" s="70"/>
      <c r="Z187" s="70"/>
      <c r="AA187" s="70"/>
      <c r="AB187" s="70"/>
      <c r="AC187" s="70"/>
      <c r="AD187" s="136"/>
      <c r="AE187" s="24"/>
      <c r="AF187" s="24"/>
      <c r="AG187" s="73"/>
      <c r="AH187" s="125"/>
      <c r="AI187" s="103"/>
      <c r="AK187" s="113"/>
      <c r="AL187" s="113"/>
      <c r="AM187" s="113"/>
      <c r="AN187" s="113"/>
      <c r="AO187" s="137"/>
      <c r="AP187" s="137"/>
      <c r="AQ187" s="137"/>
      <c r="AR187" s="137"/>
      <c r="AS187" s="137"/>
      <c r="AT187" s="137"/>
      <c r="AU187" s="67"/>
      <c r="AV187" s="44"/>
      <c r="AW187" s="67"/>
      <c r="AX187" s="75"/>
      <c r="AY187" s="123"/>
      <c r="AZ187" s="67"/>
      <c r="BA187" s="138"/>
      <c r="BB187" s="67"/>
      <c r="BC187" s="67"/>
      <c r="BD187" s="67"/>
      <c r="BE187" s="67"/>
      <c r="BF187" s="67"/>
      <c r="BG187" s="67"/>
      <c r="BH187" s="67"/>
      <c r="BI187" s="67"/>
      <c r="BJ187" s="67"/>
      <c r="BK187" s="67"/>
      <c r="BL187" s="67"/>
      <c r="BM187" s="70"/>
      <c r="BN187" s="70"/>
      <c r="BO187" s="70"/>
      <c r="BP187" s="70"/>
      <c r="BQ187" s="70"/>
      <c r="BR187" s="70"/>
      <c r="BS187" s="70"/>
      <c r="BT187" s="70"/>
      <c r="BU187" s="70"/>
      <c r="BV187" s="70"/>
      <c r="BW187" s="70"/>
      <c r="BX187" s="136"/>
      <c r="BY187" s="70"/>
      <c r="BZ187" s="67"/>
      <c r="CA187" s="67"/>
      <c r="CB187" s="67"/>
    </row>
    <row r="188" spans="1:80" s="28" customFormat="1" ht="16" customHeight="1">
      <c r="A188" s="39"/>
      <c r="B188" s="57"/>
      <c r="C188" s="67"/>
      <c r="D188" s="67"/>
      <c r="E188" s="39"/>
      <c r="F188" s="39"/>
      <c r="G188" s="39"/>
      <c r="H188" s="67"/>
      <c r="I188" s="60"/>
      <c r="J188" s="60"/>
      <c r="K188" s="60"/>
      <c r="L188" s="60"/>
      <c r="M188" s="60"/>
      <c r="N188" s="60"/>
      <c r="O188" s="60"/>
      <c r="P188" s="60"/>
      <c r="Q188" s="60"/>
      <c r="R188" s="60"/>
      <c r="S188" s="70"/>
      <c r="T188" s="70"/>
      <c r="U188" s="70"/>
      <c r="V188" s="70"/>
      <c r="W188" s="70"/>
      <c r="X188" s="70"/>
      <c r="Y188" s="70"/>
      <c r="Z188" s="70"/>
      <c r="AA188" s="70"/>
      <c r="AB188" s="70"/>
      <c r="AC188" s="70"/>
      <c r="AD188" s="136"/>
      <c r="AE188" s="24"/>
      <c r="AF188" s="24"/>
      <c r="AG188" s="73"/>
      <c r="AH188" s="125"/>
      <c r="AI188" s="103"/>
      <c r="AK188" s="113"/>
      <c r="AL188" s="113"/>
      <c r="AM188" s="113"/>
      <c r="AN188" s="113"/>
      <c r="AO188" s="137"/>
      <c r="AP188" s="137"/>
      <c r="AQ188" s="137"/>
      <c r="AR188" s="137"/>
      <c r="AS188" s="137"/>
      <c r="AT188" s="137"/>
      <c r="AU188" s="67"/>
      <c r="AV188" s="44"/>
      <c r="AW188" s="67"/>
      <c r="AX188" s="75"/>
      <c r="AY188" s="123"/>
      <c r="AZ188" s="67"/>
      <c r="BA188" s="138"/>
      <c r="BB188" s="67"/>
      <c r="BC188" s="67"/>
      <c r="BD188" s="67"/>
      <c r="BE188" s="67"/>
      <c r="BF188" s="67"/>
      <c r="BG188" s="67"/>
      <c r="BH188" s="67"/>
      <c r="BI188" s="67"/>
      <c r="BJ188" s="67"/>
      <c r="BK188" s="67"/>
      <c r="BL188" s="67"/>
      <c r="BM188" s="70"/>
      <c r="BN188" s="70"/>
      <c r="BO188" s="70"/>
      <c r="BP188" s="70"/>
      <c r="BQ188" s="70"/>
      <c r="BR188" s="70"/>
      <c r="BS188" s="70"/>
      <c r="BT188" s="70"/>
      <c r="BU188" s="70"/>
      <c r="BV188" s="70"/>
      <c r="BW188" s="70"/>
      <c r="BX188" s="136"/>
      <c r="BY188" s="70"/>
      <c r="BZ188" s="67"/>
      <c r="CA188" s="67"/>
      <c r="CB188" s="67"/>
    </row>
    <row r="189" spans="1:80" s="28" customFormat="1" ht="16" customHeight="1">
      <c r="A189" s="39"/>
      <c r="B189" s="57"/>
      <c r="C189" s="67"/>
      <c r="D189" s="67"/>
      <c r="E189" s="39"/>
      <c r="F189" s="39"/>
      <c r="G189" s="39"/>
      <c r="H189" s="67"/>
      <c r="I189" s="60"/>
      <c r="J189" s="60"/>
      <c r="K189" s="60"/>
      <c r="L189" s="60"/>
      <c r="M189" s="60"/>
      <c r="N189" s="60"/>
      <c r="O189" s="60"/>
      <c r="P189" s="60"/>
      <c r="Q189" s="60"/>
      <c r="R189" s="60"/>
      <c r="S189" s="70"/>
      <c r="T189" s="70"/>
      <c r="U189" s="70"/>
      <c r="V189" s="70"/>
      <c r="W189" s="70"/>
      <c r="X189" s="70"/>
      <c r="Y189" s="70"/>
      <c r="Z189" s="70"/>
      <c r="AA189" s="70"/>
      <c r="AB189" s="70"/>
      <c r="AC189" s="70"/>
      <c r="AD189" s="136"/>
      <c r="AE189" s="24"/>
      <c r="AF189" s="24"/>
      <c r="AG189" s="73"/>
      <c r="AH189" s="125"/>
      <c r="AI189" s="103"/>
      <c r="AK189" s="113"/>
      <c r="AL189" s="113"/>
      <c r="AM189" s="113"/>
      <c r="AN189" s="113"/>
      <c r="AO189" s="137"/>
      <c r="AP189" s="137"/>
      <c r="AQ189" s="137"/>
      <c r="AR189" s="137"/>
      <c r="AS189" s="137"/>
      <c r="AT189" s="137"/>
      <c r="AU189" s="67"/>
      <c r="AV189" s="44"/>
      <c r="AW189" s="67"/>
      <c r="AX189" s="75"/>
      <c r="AY189" s="123"/>
      <c r="AZ189" s="67"/>
      <c r="BA189" s="138"/>
      <c r="BB189" s="67"/>
      <c r="BC189" s="67"/>
      <c r="BD189" s="67"/>
      <c r="BE189" s="67"/>
      <c r="BF189" s="67"/>
      <c r="BG189" s="67"/>
      <c r="BH189" s="67"/>
      <c r="BI189" s="67"/>
      <c r="BJ189" s="67"/>
      <c r="BK189" s="67"/>
      <c r="BL189" s="67"/>
      <c r="BM189" s="70"/>
      <c r="BN189" s="70"/>
      <c r="BO189" s="70"/>
      <c r="BP189" s="70"/>
      <c r="BQ189" s="70"/>
      <c r="BR189" s="70"/>
      <c r="BS189" s="70"/>
      <c r="BT189" s="70"/>
      <c r="BU189" s="70"/>
      <c r="BV189" s="70"/>
      <c r="BW189" s="70"/>
      <c r="BX189" s="136"/>
      <c r="BY189" s="70"/>
      <c r="BZ189" s="67"/>
      <c r="CA189" s="67"/>
      <c r="CB189" s="67"/>
    </row>
    <row r="190" spans="1:80" s="28" customFormat="1" ht="16" customHeight="1">
      <c r="A190" s="39"/>
      <c r="B190" s="57"/>
      <c r="C190" s="67"/>
      <c r="D190" s="67"/>
      <c r="E190" s="39"/>
      <c r="F190" s="39"/>
      <c r="G190" s="39"/>
      <c r="H190" s="67"/>
      <c r="I190" s="60"/>
      <c r="J190" s="60"/>
      <c r="K190" s="60"/>
      <c r="L190" s="60"/>
      <c r="M190" s="60"/>
      <c r="N190" s="60"/>
      <c r="O190" s="60"/>
      <c r="P190" s="60"/>
      <c r="Q190" s="60"/>
      <c r="R190" s="60"/>
      <c r="S190" s="70"/>
      <c r="T190" s="70"/>
      <c r="U190" s="70"/>
      <c r="V190" s="70"/>
      <c r="W190" s="70"/>
      <c r="X190" s="70"/>
      <c r="Y190" s="70"/>
      <c r="Z190" s="70"/>
      <c r="AA190" s="70"/>
      <c r="AB190" s="70"/>
      <c r="AC190" s="70"/>
      <c r="AD190" s="136"/>
      <c r="AE190" s="24"/>
      <c r="AF190" s="24"/>
      <c r="AG190" s="73"/>
      <c r="AH190" s="125"/>
      <c r="AI190" s="103"/>
      <c r="AK190" s="113"/>
      <c r="AL190" s="113"/>
      <c r="AM190" s="113"/>
      <c r="AN190" s="113"/>
      <c r="AO190" s="137"/>
      <c r="AP190" s="137"/>
      <c r="AQ190" s="137"/>
      <c r="AR190" s="137"/>
      <c r="AS190" s="137"/>
      <c r="AT190" s="137"/>
      <c r="AU190" s="67"/>
      <c r="AV190" s="44"/>
      <c r="AW190" s="67"/>
      <c r="AX190" s="75"/>
      <c r="AY190" s="123"/>
      <c r="AZ190" s="67"/>
      <c r="BA190" s="138"/>
      <c r="BB190" s="67"/>
      <c r="BC190" s="67"/>
      <c r="BD190" s="67"/>
      <c r="BE190" s="67"/>
      <c r="BF190" s="67"/>
      <c r="BG190" s="67"/>
      <c r="BH190" s="67"/>
      <c r="BI190" s="67"/>
      <c r="BJ190" s="67"/>
      <c r="BK190" s="67"/>
      <c r="BL190" s="67"/>
      <c r="BM190" s="70"/>
      <c r="BN190" s="70"/>
      <c r="BO190" s="70"/>
      <c r="BP190" s="70"/>
      <c r="BQ190" s="70"/>
      <c r="BR190" s="70"/>
      <c r="BS190" s="70"/>
      <c r="BT190" s="70"/>
      <c r="BU190" s="70"/>
      <c r="BV190" s="70"/>
      <c r="BW190" s="70"/>
      <c r="BX190" s="136"/>
      <c r="BY190" s="70"/>
      <c r="BZ190" s="67"/>
      <c r="CA190" s="67"/>
      <c r="CB190" s="67"/>
    </row>
    <row r="191" spans="1:80" s="28" customFormat="1" ht="16" customHeight="1">
      <c r="A191" s="39"/>
      <c r="B191" s="57"/>
      <c r="C191" s="67"/>
      <c r="D191" s="67"/>
      <c r="E191" s="39"/>
      <c r="F191" s="39"/>
      <c r="G191" s="39"/>
      <c r="H191" s="67"/>
      <c r="I191" s="60"/>
      <c r="J191" s="60"/>
      <c r="K191" s="60"/>
      <c r="L191" s="60"/>
      <c r="M191" s="60"/>
      <c r="N191" s="60"/>
      <c r="O191" s="60"/>
      <c r="P191" s="60"/>
      <c r="Q191" s="60"/>
      <c r="R191" s="60"/>
      <c r="S191" s="70"/>
      <c r="T191" s="70"/>
      <c r="U191" s="70"/>
      <c r="V191" s="70"/>
      <c r="W191" s="70"/>
      <c r="X191" s="70"/>
      <c r="Y191" s="70"/>
      <c r="Z191" s="70"/>
      <c r="AA191" s="70"/>
      <c r="AB191" s="70"/>
      <c r="AC191" s="70"/>
      <c r="AD191" s="136"/>
      <c r="AE191" s="24"/>
      <c r="AF191" s="24"/>
      <c r="AG191" s="73"/>
      <c r="AH191" s="125"/>
      <c r="AI191" s="103"/>
      <c r="AK191" s="113"/>
      <c r="AL191" s="113"/>
      <c r="AM191" s="113"/>
      <c r="AN191" s="113"/>
      <c r="AO191" s="137"/>
      <c r="AP191" s="137"/>
      <c r="AQ191" s="137"/>
      <c r="AR191" s="137"/>
      <c r="AS191" s="137"/>
      <c r="AT191" s="137"/>
      <c r="AU191" s="67"/>
      <c r="AV191" s="44"/>
      <c r="AW191" s="67"/>
      <c r="AX191" s="75"/>
      <c r="AY191" s="123"/>
      <c r="AZ191" s="67"/>
      <c r="BA191" s="138"/>
      <c r="BB191" s="67"/>
      <c r="BC191" s="67"/>
      <c r="BD191" s="67"/>
      <c r="BE191" s="67"/>
      <c r="BF191" s="67"/>
      <c r="BG191" s="67"/>
      <c r="BH191" s="67"/>
      <c r="BI191" s="67"/>
      <c r="BJ191" s="67"/>
      <c r="BK191" s="67"/>
      <c r="BL191" s="67"/>
      <c r="BM191" s="70"/>
      <c r="BN191" s="70"/>
      <c r="BO191" s="70"/>
      <c r="BP191" s="70"/>
      <c r="BQ191" s="70"/>
      <c r="BR191" s="70"/>
      <c r="BS191" s="70"/>
      <c r="BT191" s="70"/>
      <c r="BU191" s="70"/>
      <c r="BV191" s="70"/>
      <c r="BW191" s="70"/>
      <c r="BX191" s="136"/>
      <c r="BY191" s="70"/>
      <c r="BZ191" s="67"/>
      <c r="CA191" s="67"/>
      <c r="CB191" s="67"/>
    </row>
    <row r="192" spans="1:80" s="28" customFormat="1" ht="16" customHeight="1">
      <c r="A192" s="39"/>
      <c r="B192" s="57"/>
      <c r="C192" s="67"/>
      <c r="D192" s="67"/>
      <c r="E192" s="39"/>
      <c r="F192" s="39"/>
      <c r="G192" s="39"/>
      <c r="H192" s="67"/>
      <c r="I192" s="60"/>
      <c r="J192" s="60"/>
      <c r="K192" s="60"/>
      <c r="L192" s="60"/>
      <c r="M192" s="60"/>
      <c r="N192" s="60"/>
      <c r="O192" s="60"/>
      <c r="P192" s="60"/>
      <c r="Q192" s="60"/>
      <c r="R192" s="60"/>
      <c r="S192" s="70"/>
      <c r="T192" s="70"/>
      <c r="U192" s="70"/>
      <c r="V192" s="70"/>
      <c r="W192" s="70"/>
      <c r="X192" s="70"/>
      <c r="Y192" s="70"/>
      <c r="Z192" s="70"/>
      <c r="AA192" s="70"/>
      <c r="AB192" s="70"/>
      <c r="AC192" s="70"/>
      <c r="AD192" s="136"/>
      <c r="AE192" s="24"/>
      <c r="AF192" s="24"/>
      <c r="AG192" s="73"/>
      <c r="AH192" s="125"/>
      <c r="AI192" s="103"/>
      <c r="AK192" s="113"/>
      <c r="AL192" s="113"/>
      <c r="AM192" s="113"/>
      <c r="AN192" s="113"/>
      <c r="AO192" s="137"/>
      <c r="AP192" s="137"/>
      <c r="AQ192" s="137"/>
      <c r="AR192" s="137"/>
      <c r="AS192" s="137"/>
      <c r="AT192" s="137"/>
      <c r="AU192" s="67"/>
      <c r="AV192" s="44"/>
      <c r="AW192" s="67"/>
      <c r="AX192" s="75"/>
      <c r="AY192" s="123"/>
      <c r="AZ192" s="67"/>
      <c r="BA192" s="138"/>
      <c r="BB192" s="67"/>
      <c r="BC192" s="67"/>
      <c r="BD192" s="67"/>
      <c r="BE192" s="67"/>
      <c r="BF192" s="67"/>
      <c r="BG192" s="67"/>
      <c r="BH192" s="67"/>
      <c r="BI192" s="67"/>
      <c r="BJ192" s="67"/>
      <c r="BK192" s="67"/>
      <c r="BL192" s="67"/>
      <c r="BM192" s="70"/>
      <c r="BN192" s="70"/>
      <c r="BO192" s="70"/>
      <c r="BP192" s="70"/>
      <c r="BQ192" s="70"/>
      <c r="BR192" s="70"/>
      <c r="BS192" s="70"/>
      <c r="BT192" s="70"/>
      <c r="BU192" s="70"/>
      <c r="BV192" s="70"/>
      <c r="BW192" s="70"/>
      <c r="BX192" s="136"/>
      <c r="BY192" s="70"/>
      <c r="BZ192" s="67"/>
      <c r="CA192" s="67"/>
      <c r="CB192" s="67"/>
    </row>
    <row r="193" spans="1:80" s="28" customFormat="1" ht="16" customHeight="1">
      <c r="A193" s="39"/>
      <c r="B193" s="57"/>
      <c r="C193" s="67"/>
      <c r="D193" s="67"/>
      <c r="E193" s="39"/>
      <c r="F193" s="39"/>
      <c r="G193" s="39"/>
      <c r="H193" s="67"/>
      <c r="I193" s="60"/>
      <c r="J193" s="60"/>
      <c r="K193" s="60"/>
      <c r="L193" s="60"/>
      <c r="M193" s="60"/>
      <c r="N193" s="60"/>
      <c r="O193" s="60"/>
      <c r="P193" s="60"/>
      <c r="Q193" s="60"/>
      <c r="R193" s="60"/>
      <c r="S193" s="70"/>
      <c r="T193" s="70"/>
      <c r="U193" s="70"/>
      <c r="V193" s="70"/>
      <c r="W193" s="70"/>
      <c r="X193" s="70"/>
      <c r="Y193" s="70"/>
      <c r="Z193" s="70"/>
      <c r="AA193" s="70"/>
      <c r="AB193" s="70"/>
      <c r="AC193" s="70"/>
      <c r="AD193" s="136"/>
      <c r="AE193" s="24"/>
      <c r="AF193" s="24"/>
      <c r="AG193" s="73"/>
      <c r="AH193" s="125"/>
      <c r="AI193" s="103"/>
      <c r="AK193" s="113"/>
      <c r="AL193" s="113"/>
      <c r="AM193" s="113"/>
      <c r="AN193" s="113"/>
      <c r="AO193" s="137"/>
      <c r="AP193" s="137"/>
      <c r="AQ193" s="137"/>
      <c r="AR193" s="137"/>
      <c r="AS193" s="137"/>
      <c r="AT193" s="137"/>
      <c r="AU193" s="67"/>
      <c r="AV193" s="44"/>
      <c r="AW193" s="67"/>
      <c r="AX193" s="75"/>
      <c r="AY193" s="123"/>
      <c r="AZ193" s="67"/>
      <c r="BA193" s="138"/>
      <c r="BB193" s="67"/>
      <c r="BC193" s="67"/>
      <c r="BD193" s="67"/>
      <c r="BE193" s="67"/>
      <c r="BF193" s="67"/>
      <c r="BG193" s="67"/>
      <c r="BH193" s="67"/>
      <c r="BI193" s="67"/>
      <c r="BJ193" s="67"/>
      <c r="BK193" s="67"/>
      <c r="BL193" s="67"/>
      <c r="BM193" s="70"/>
      <c r="BN193" s="70"/>
      <c r="BO193" s="70"/>
      <c r="BP193" s="70"/>
      <c r="BQ193" s="70"/>
      <c r="BR193" s="70"/>
      <c r="BS193" s="70"/>
      <c r="BT193" s="70"/>
      <c r="BU193" s="70"/>
      <c r="BV193" s="70"/>
      <c r="BW193" s="70"/>
      <c r="BX193" s="136"/>
      <c r="BY193" s="70"/>
      <c r="BZ193" s="67"/>
      <c r="CA193" s="67"/>
      <c r="CB193" s="67"/>
    </row>
    <row r="194" spans="1:80" s="28" customFormat="1" ht="16" customHeight="1">
      <c r="A194" s="39"/>
      <c r="B194" s="57"/>
      <c r="C194" s="67"/>
      <c r="D194" s="67"/>
      <c r="E194" s="39"/>
      <c r="F194" s="39"/>
      <c r="G194" s="39"/>
      <c r="H194" s="67"/>
      <c r="I194" s="60"/>
      <c r="J194" s="60"/>
      <c r="K194" s="60"/>
      <c r="L194" s="60"/>
      <c r="M194" s="60"/>
      <c r="N194" s="60"/>
      <c r="O194" s="60"/>
      <c r="P194" s="60"/>
      <c r="Q194" s="60"/>
      <c r="R194" s="60"/>
      <c r="S194" s="70"/>
      <c r="T194" s="70"/>
      <c r="U194" s="70"/>
      <c r="V194" s="70"/>
      <c r="W194" s="70"/>
      <c r="X194" s="70"/>
      <c r="Y194" s="70"/>
      <c r="Z194" s="70"/>
      <c r="AA194" s="70"/>
      <c r="AB194" s="70"/>
      <c r="AC194" s="70"/>
      <c r="AD194" s="136"/>
      <c r="AE194" s="24"/>
      <c r="AF194" s="24"/>
      <c r="AG194" s="73"/>
      <c r="AH194" s="125"/>
      <c r="AI194" s="103"/>
      <c r="AK194" s="113"/>
      <c r="AL194" s="113"/>
      <c r="AM194" s="113"/>
      <c r="AN194" s="113"/>
      <c r="AO194" s="137"/>
      <c r="AP194" s="137"/>
      <c r="AQ194" s="137"/>
      <c r="AR194" s="137"/>
      <c r="AS194" s="137"/>
      <c r="AT194" s="137"/>
      <c r="AU194" s="67"/>
      <c r="AV194" s="44"/>
      <c r="AW194" s="67"/>
      <c r="AX194" s="75"/>
      <c r="AY194" s="123"/>
      <c r="AZ194" s="67"/>
      <c r="BA194" s="138"/>
      <c r="BB194" s="67"/>
      <c r="BC194" s="67"/>
      <c r="BD194" s="67"/>
      <c r="BE194" s="67"/>
      <c r="BF194" s="67"/>
      <c r="BG194" s="67"/>
      <c r="BH194" s="67"/>
      <c r="BI194" s="67"/>
      <c r="BJ194" s="67"/>
      <c r="BK194" s="67"/>
      <c r="BL194" s="67"/>
      <c r="BM194" s="70"/>
      <c r="BN194" s="70"/>
      <c r="BO194" s="70"/>
      <c r="BP194" s="70"/>
      <c r="BQ194" s="70"/>
      <c r="BR194" s="70"/>
      <c r="BS194" s="70"/>
      <c r="BT194" s="70"/>
      <c r="BU194" s="70"/>
      <c r="BV194" s="70"/>
      <c r="BW194" s="70"/>
      <c r="BX194" s="136"/>
      <c r="BY194" s="70"/>
      <c r="BZ194" s="67"/>
      <c r="CA194" s="67"/>
      <c r="CB194" s="67"/>
    </row>
    <row r="195" spans="1:80" s="28" customFormat="1" ht="16" customHeight="1">
      <c r="A195" s="39"/>
      <c r="B195" s="57"/>
      <c r="C195" s="67"/>
      <c r="D195" s="67"/>
      <c r="E195" s="39"/>
      <c r="F195" s="39"/>
      <c r="G195" s="39"/>
      <c r="H195" s="67"/>
      <c r="I195" s="60"/>
      <c r="J195" s="60"/>
      <c r="K195" s="60"/>
      <c r="L195" s="60"/>
      <c r="M195" s="60"/>
      <c r="N195" s="60"/>
      <c r="O195" s="60"/>
      <c r="P195" s="60"/>
      <c r="Q195" s="60"/>
      <c r="R195" s="60"/>
      <c r="S195" s="70"/>
      <c r="T195" s="70"/>
      <c r="U195" s="70"/>
      <c r="V195" s="70"/>
      <c r="W195" s="70"/>
      <c r="X195" s="70"/>
      <c r="Y195" s="70"/>
      <c r="Z195" s="70"/>
      <c r="AA195" s="70"/>
      <c r="AB195" s="70"/>
      <c r="AC195" s="70"/>
      <c r="AD195" s="136"/>
      <c r="AE195" s="24"/>
      <c r="AF195" s="24"/>
      <c r="AG195" s="73"/>
      <c r="AH195" s="125"/>
      <c r="AI195" s="103"/>
      <c r="AK195" s="113"/>
      <c r="AL195" s="113"/>
      <c r="AM195" s="113"/>
      <c r="AN195" s="113"/>
      <c r="AO195" s="137"/>
      <c r="AP195" s="137"/>
      <c r="AQ195" s="137"/>
      <c r="AR195" s="137"/>
      <c r="AS195" s="137"/>
      <c r="AT195" s="137"/>
      <c r="AU195" s="67"/>
      <c r="AV195" s="44"/>
      <c r="AW195" s="67"/>
      <c r="AX195" s="75"/>
      <c r="AY195" s="123"/>
      <c r="AZ195" s="67"/>
      <c r="BA195" s="138"/>
      <c r="BB195" s="67"/>
      <c r="BC195" s="67"/>
      <c r="BD195" s="67"/>
      <c r="BE195" s="67"/>
      <c r="BF195" s="67"/>
      <c r="BG195" s="67"/>
      <c r="BH195" s="67"/>
      <c r="BI195" s="67"/>
      <c r="BJ195" s="67"/>
      <c r="BK195" s="67"/>
      <c r="BL195" s="67"/>
      <c r="BM195" s="70"/>
      <c r="BN195" s="70"/>
      <c r="BO195" s="70"/>
      <c r="BP195" s="70"/>
      <c r="BQ195" s="70"/>
      <c r="BR195" s="70"/>
      <c r="BS195" s="70"/>
      <c r="BT195" s="70"/>
      <c r="BU195" s="70"/>
      <c r="BV195" s="70"/>
      <c r="BW195" s="70"/>
      <c r="BX195" s="136"/>
      <c r="BY195" s="70"/>
      <c r="BZ195" s="67"/>
      <c r="CA195" s="67"/>
      <c r="CB195" s="67"/>
    </row>
    <row r="196" spans="1:80" s="28" customFormat="1" ht="16" customHeight="1">
      <c r="A196" s="39"/>
      <c r="B196" s="57"/>
      <c r="C196" s="67"/>
      <c r="D196" s="67"/>
      <c r="E196" s="39"/>
      <c r="F196" s="39"/>
      <c r="G196" s="39"/>
      <c r="H196" s="67"/>
      <c r="I196" s="60"/>
      <c r="J196" s="60"/>
      <c r="K196" s="60"/>
      <c r="L196" s="60"/>
      <c r="M196" s="60"/>
      <c r="N196" s="60"/>
      <c r="O196" s="60"/>
      <c r="P196" s="60"/>
      <c r="Q196" s="60"/>
      <c r="R196" s="60"/>
      <c r="S196" s="70"/>
      <c r="T196" s="70"/>
      <c r="U196" s="70"/>
      <c r="V196" s="70"/>
      <c r="W196" s="70"/>
      <c r="X196" s="70"/>
      <c r="Y196" s="70"/>
      <c r="Z196" s="70"/>
      <c r="AA196" s="70"/>
      <c r="AB196" s="70"/>
      <c r="AC196" s="70"/>
      <c r="AD196" s="136"/>
      <c r="AE196" s="24"/>
      <c r="AF196" s="24"/>
      <c r="AG196" s="73"/>
      <c r="AH196" s="125"/>
      <c r="AI196" s="103"/>
      <c r="AK196" s="113"/>
      <c r="AL196" s="113"/>
      <c r="AM196" s="113"/>
      <c r="AN196" s="113"/>
      <c r="AO196" s="137"/>
      <c r="AP196" s="137"/>
      <c r="AQ196" s="137"/>
      <c r="AR196" s="137"/>
      <c r="AS196" s="137"/>
      <c r="AT196" s="137"/>
      <c r="AU196" s="67"/>
      <c r="AV196" s="44"/>
      <c r="AW196" s="67"/>
      <c r="AX196" s="75"/>
      <c r="AY196" s="123"/>
      <c r="AZ196" s="67"/>
      <c r="BA196" s="138"/>
      <c r="BB196" s="67"/>
      <c r="BC196" s="67"/>
      <c r="BD196" s="67"/>
      <c r="BE196" s="67"/>
      <c r="BF196" s="67"/>
      <c r="BG196" s="67"/>
      <c r="BH196" s="67"/>
      <c r="BI196" s="67"/>
      <c r="BJ196" s="67"/>
      <c r="BK196" s="67"/>
      <c r="BL196" s="67"/>
      <c r="BM196" s="70"/>
      <c r="BN196" s="70"/>
      <c r="BO196" s="70"/>
      <c r="BP196" s="70"/>
      <c r="BQ196" s="70"/>
      <c r="BR196" s="70"/>
      <c r="BS196" s="70"/>
      <c r="BT196" s="70"/>
      <c r="BU196" s="70"/>
      <c r="BV196" s="70"/>
      <c r="BW196" s="70"/>
      <c r="BX196" s="136"/>
      <c r="BY196" s="70"/>
      <c r="BZ196" s="67"/>
      <c r="CA196" s="67"/>
      <c r="CB196" s="67"/>
    </row>
    <row r="197" spans="1:80" s="28" customFormat="1" ht="16" customHeight="1">
      <c r="A197" s="39"/>
      <c r="B197" s="57"/>
      <c r="C197" s="67"/>
      <c r="D197" s="67"/>
      <c r="E197" s="39"/>
      <c r="F197" s="39"/>
      <c r="G197" s="39"/>
      <c r="H197" s="67"/>
      <c r="I197" s="60"/>
      <c r="J197" s="60"/>
      <c r="K197" s="60"/>
      <c r="L197" s="60"/>
      <c r="M197" s="60"/>
      <c r="N197" s="60"/>
      <c r="O197" s="60"/>
      <c r="P197" s="60"/>
      <c r="Q197" s="60"/>
      <c r="R197" s="60"/>
      <c r="S197" s="70"/>
      <c r="T197" s="70"/>
      <c r="U197" s="70"/>
      <c r="V197" s="70"/>
      <c r="W197" s="70"/>
      <c r="X197" s="70"/>
      <c r="Y197" s="70"/>
      <c r="Z197" s="70"/>
      <c r="AA197" s="70"/>
      <c r="AB197" s="70"/>
      <c r="AC197" s="70"/>
      <c r="AD197" s="136"/>
      <c r="AE197" s="24"/>
      <c r="AF197" s="24"/>
      <c r="AG197" s="73"/>
      <c r="AH197" s="125"/>
      <c r="AI197" s="103"/>
      <c r="AK197" s="113"/>
      <c r="AL197" s="113"/>
      <c r="AM197" s="113"/>
      <c r="AN197" s="113"/>
      <c r="AO197" s="137"/>
      <c r="AP197" s="137"/>
      <c r="AQ197" s="137"/>
      <c r="AR197" s="137"/>
      <c r="AS197" s="137"/>
      <c r="AT197" s="137"/>
      <c r="AU197" s="67"/>
      <c r="AV197" s="44"/>
      <c r="AW197" s="67"/>
      <c r="AX197" s="75"/>
      <c r="AY197" s="123"/>
      <c r="AZ197" s="67"/>
      <c r="BA197" s="138"/>
      <c r="BB197" s="67"/>
      <c r="BC197" s="67"/>
      <c r="BD197" s="67"/>
      <c r="BE197" s="67"/>
      <c r="BF197" s="67"/>
      <c r="BG197" s="67"/>
      <c r="BH197" s="67"/>
      <c r="BI197" s="67"/>
      <c r="BJ197" s="67"/>
      <c r="BK197" s="67"/>
      <c r="BL197" s="67"/>
      <c r="BM197" s="70"/>
      <c r="BN197" s="70"/>
      <c r="BO197" s="70"/>
      <c r="BP197" s="70"/>
      <c r="BQ197" s="70"/>
      <c r="BR197" s="70"/>
      <c r="BS197" s="70"/>
      <c r="BT197" s="70"/>
      <c r="BU197" s="70"/>
      <c r="BV197" s="70"/>
      <c r="BW197" s="70"/>
      <c r="BX197" s="136"/>
      <c r="BY197" s="70"/>
      <c r="BZ197" s="67"/>
      <c r="CA197" s="67"/>
      <c r="CB197" s="67"/>
    </row>
    <row r="198" spans="1:80" s="28" customFormat="1" ht="16" customHeight="1">
      <c r="A198" s="39"/>
      <c r="B198" s="57"/>
      <c r="C198" s="67"/>
      <c r="D198" s="67"/>
      <c r="E198" s="39"/>
      <c r="F198" s="39"/>
      <c r="G198" s="39"/>
      <c r="H198" s="67"/>
      <c r="I198" s="60"/>
      <c r="J198" s="60"/>
      <c r="K198" s="60"/>
      <c r="L198" s="60"/>
      <c r="M198" s="60"/>
      <c r="N198" s="60"/>
      <c r="O198" s="60"/>
      <c r="P198" s="60"/>
      <c r="Q198" s="60"/>
      <c r="R198" s="60"/>
      <c r="S198" s="70"/>
      <c r="T198" s="70"/>
      <c r="U198" s="70"/>
      <c r="V198" s="70"/>
      <c r="W198" s="70"/>
      <c r="X198" s="70"/>
      <c r="Y198" s="70"/>
      <c r="Z198" s="70"/>
      <c r="AA198" s="70"/>
      <c r="AB198" s="70"/>
      <c r="AC198" s="70"/>
      <c r="AD198" s="136"/>
      <c r="AE198" s="24"/>
      <c r="AF198" s="24"/>
      <c r="AG198" s="73"/>
      <c r="AH198" s="125"/>
      <c r="AI198" s="103"/>
      <c r="AK198" s="113"/>
      <c r="AL198" s="113"/>
      <c r="AM198" s="113"/>
      <c r="AN198" s="113"/>
      <c r="AO198" s="137"/>
      <c r="AP198" s="137"/>
      <c r="AQ198" s="137"/>
      <c r="AR198" s="137"/>
      <c r="AS198" s="137"/>
      <c r="AT198" s="137"/>
      <c r="AU198" s="67"/>
      <c r="AV198" s="44"/>
      <c r="AW198" s="67"/>
      <c r="AX198" s="75"/>
      <c r="AY198" s="123"/>
      <c r="AZ198" s="67"/>
      <c r="BA198" s="138"/>
      <c r="BB198" s="67"/>
      <c r="BC198" s="67"/>
      <c r="BD198" s="67"/>
      <c r="BE198" s="67"/>
      <c r="BF198" s="67"/>
      <c r="BG198" s="67"/>
      <c r="BH198" s="67"/>
      <c r="BI198" s="67"/>
      <c r="BJ198" s="67"/>
      <c r="BK198" s="67"/>
      <c r="BL198" s="67"/>
      <c r="BM198" s="70"/>
      <c r="BN198" s="70"/>
      <c r="BO198" s="70"/>
      <c r="BP198" s="70"/>
      <c r="BQ198" s="70"/>
      <c r="BR198" s="70"/>
      <c r="BS198" s="70"/>
      <c r="BT198" s="70"/>
      <c r="BU198" s="70"/>
      <c r="BV198" s="70"/>
      <c r="BW198" s="70"/>
      <c r="BX198" s="136"/>
      <c r="BY198" s="70"/>
      <c r="BZ198" s="67"/>
      <c r="CA198" s="67"/>
      <c r="CB198" s="67"/>
    </row>
    <row r="199" spans="1:80" s="28" customFormat="1" ht="16" customHeight="1">
      <c r="A199" s="39"/>
      <c r="B199" s="57"/>
      <c r="C199" s="67"/>
      <c r="D199" s="67"/>
      <c r="E199" s="39"/>
      <c r="F199" s="39"/>
      <c r="G199" s="39"/>
      <c r="H199" s="67"/>
      <c r="I199" s="60"/>
      <c r="J199" s="60"/>
      <c r="K199" s="60"/>
      <c r="L199" s="60"/>
      <c r="M199" s="60"/>
      <c r="N199" s="60"/>
      <c r="O199" s="60"/>
      <c r="P199" s="60"/>
      <c r="Q199" s="60"/>
      <c r="R199" s="60"/>
      <c r="S199" s="70"/>
      <c r="T199" s="70"/>
      <c r="U199" s="70"/>
      <c r="V199" s="70"/>
      <c r="W199" s="70"/>
      <c r="X199" s="70"/>
      <c r="Y199" s="70"/>
      <c r="Z199" s="70"/>
      <c r="AA199" s="70"/>
      <c r="AB199" s="70"/>
      <c r="AC199" s="70"/>
      <c r="AD199" s="136"/>
      <c r="AE199" s="24"/>
      <c r="AF199" s="24"/>
      <c r="AG199" s="73"/>
      <c r="AH199" s="125"/>
      <c r="AI199" s="103"/>
      <c r="AK199" s="113"/>
      <c r="AL199" s="113"/>
      <c r="AM199" s="113"/>
      <c r="AN199" s="113"/>
      <c r="AO199" s="137"/>
      <c r="AP199" s="137"/>
      <c r="AQ199" s="137"/>
      <c r="AR199" s="137"/>
      <c r="AS199" s="137"/>
      <c r="AT199" s="137"/>
      <c r="AU199" s="67"/>
      <c r="AV199" s="44"/>
      <c r="AW199" s="67"/>
      <c r="AX199" s="75"/>
      <c r="AY199" s="123"/>
      <c r="AZ199" s="67"/>
      <c r="BA199" s="138"/>
      <c r="BB199" s="67"/>
      <c r="BC199" s="67"/>
      <c r="BD199" s="67"/>
      <c r="BE199" s="67"/>
      <c r="BF199" s="67"/>
      <c r="BG199" s="67"/>
      <c r="BH199" s="67"/>
      <c r="BI199" s="67"/>
      <c r="BJ199" s="67"/>
      <c r="BK199" s="67"/>
      <c r="BL199" s="67"/>
      <c r="BM199" s="70"/>
      <c r="BN199" s="70"/>
      <c r="BO199" s="70"/>
      <c r="BP199" s="70"/>
      <c r="BQ199" s="70"/>
      <c r="BR199" s="70"/>
      <c r="BS199" s="70"/>
      <c r="BT199" s="70"/>
      <c r="BU199" s="70"/>
      <c r="BV199" s="70"/>
      <c r="BW199" s="70"/>
      <c r="BX199" s="136"/>
      <c r="BY199" s="70"/>
      <c r="BZ199" s="67"/>
      <c r="CA199" s="67"/>
      <c r="CB199" s="67"/>
    </row>
    <row r="200" spans="1:80" s="28" customFormat="1" ht="16" customHeight="1">
      <c r="A200" s="39"/>
      <c r="B200" s="57"/>
      <c r="C200" s="67"/>
      <c r="D200" s="67"/>
      <c r="E200" s="39"/>
      <c r="F200" s="39"/>
      <c r="G200" s="39"/>
      <c r="H200" s="67"/>
      <c r="I200" s="60"/>
      <c r="J200" s="60"/>
      <c r="K200" s="60"/>
      <c r="L200" s="60"/>
      <c r="M200" s="60"/>
      <c r="N200" s="60"/>
      <c r="O200" s="60"/>
      <c r="P200" s="60"/>
      <c r="Q200" s="60"/>
      <c r="R200" s="60"/>
      <c r="S200" s="70"/>
      <c r="T200" s="70"/>
      <c r="U200" s="70"/>
      <c r="V200" s="70"/>
      <c r="W200" s="70"/>
      <c r="X200" s="70"/>
      <c r="Y200" s="70"/>
      <c r="Z200" s="70"/>
      <c r="AA200" s="70"/>
      <c r="AB200" s="70"/>
      <c r="AC200" s="70"/>
      <c r="AD200" s="136"/>
      <c r="AE200" s="24"/>
      <c r="AF200" s="24"/>
      <c r="AG200" s="73"/>
      <c r="AH200" s="125"/>
      <c r="AI200" s="103"/>
      <c r="AK200" s="113"/>
      <c r="AL200" s="113"/>
      <c r="AM200" s="113"/>
      <c r="AN200" s="113"/>
      <c r="AO200" s="137"/>
      <c r="AP200" s="137"/>
      <c r="AQ200" s="137"/>
      <c r="AR200" s="137"/>
      <c r="AS200" s="137"/>
      <c r="AT200" s="137"/>
      <c r="AU200" s="67"/>
      <c r="AV200" s="44"/>
      <c r="AW200" s="67"/>
      <c r="AX200" s="75"/>
      <c r="AY200" s="123"/>
      <c r="AZ200" s="67"/>
      <c r="BA200" s="138"/>
      <c r="BB200" s="67"/>
      <c r="BC200" s="67"/>
      <c r="BD200" s="67"/>
      <c r="BE200" s="67"/>
      <c r="BF200" s="67"/>
      <c r="BG200" s="67"/>
      <c r="BH200" s="67"/>
      <c r="BI200" s="67"/>
      <c r="BJ200" s="67"/>
      <c r="BK200" s="67"/>
      <c r="BL200" s="67"/>
      <c r="BM200" s="70"/>
      <c r="BN200" s="70"/>
      <c r="BO200" s="70"/>
      <c r="BP200" s="70"/>
      <c r="BQ200" s="70"/>
      <c r="BR200" s="70"/>
      <c r="BS200" s="70"/>
      <c r="BT200" s="70"/>
      <c r="BU200" s="70"/>
      <c r="BV200" s="70"/>
      <c r="BW200" s="70"/>
      <c r="BX200" s="136"/>
      <c r="BY200" s="70"/>
      <c r="BZ200" s="67"/>
      <c r="CA200" s="67"/>
      <c r="CB200" s="67"/>
    </row>
    <row r="201" spans="1:80" s="28" customFormat="1" ht="16" customHeight="1">
      <c r="A201" s="39"/>
      <c r="B201" s="57"/>
      <c r="C201" s="67"/>
      <c r="D201" s="67"/>
      <c r="E201" s="39"/>
      <c r="F201" s="39"/>
      <c r="G201" s="39"/>
      <c r="H201" s="67"/>
      <c r="I201" s="60"/>
      <c r="J201" s="60"/>
      <c r="K201" s="60"/>
      <c r="L201" s="60"/>
      <c r="M201" s="60"/>
      <c r="N201" s="60"/>
      <c r="O201" s="60"/>
      <c r="P201" s="60"/>
      <c r="Q201" s="60"/>
      <c r="R201" s="60"/>
      <c r="S201" s="70"/>
      <c r="T201" s="70"/>
      <c r="U201" s="70"/>
      <c r="V201" s="70"/>
      <c r="W201" s="70"/>
      <c r="X201" s="70"/>
      <c r="Y201" s="70"/>
      <c r="Z201" s="70"/>
      <c r="AA201" s="70"/>
      <c r="AB201" s="70"/>
      <c r="AC201" s="70"/>
      <c r="AD201" s="136"/>
      <c r="AE201" s="24"/>
      <c r="AF201" s="24"/>
      <c r="AG201" s="73"/>
      <c r="AH201" s="125"/>
      <c r="AI201" s="103"/>
      <c r="AK201" s="113"/>
      <c r="AL201" s="113"/>
      <c r="AM201" s="113"/>
      <c r="AN201" s="113"/>
      <c r="AO201" s="137"/>
      <c r="AP201" s="137"/>
      <c r="AQ201" s="137"/>
      <c r="AR201" s="137"/>
      <c r="AS201" s="137"/>
      <c r="AT201" s="137"/>
      <c r="AU201" s="67"/>
      <c r="AV201" s="44"/>
      <c r="AW201" s="67"/>
      <c r="AX201" s="75"/>
      <c r="AY201" s="123"/>
      <c r="AZ201" s="67"/>
      <c r="BA201" s="138"/>
      <c r="BB201" s="67"/>
      <c r="BC201" s="67"/>
      <c r="BD201" s="67"/>
      <c r="BE201" s="67"/>
      <c r="BF201" s="67"/>
      <c r="BG201" s="67"/>
      <c r="BH201" s="67"/>
      <c r="BI201" s="67"/>
      <c r="BJ201" s="67"/>
      <c r="BK201" s="67"/>
      <c r="BL201" s="67"/>
      <c r="BM201" s="70"/>
      <c r="BN201" s="70"/>
      <c r="BO201" s="70"/>
      <c r="BP201" s="70"/>
      <c r="BQ201" s="70"/>
      <c r="BR201" s="70"/>
      <c r="BS201" s="70"/>
      <c r="BT201" s="70"/>
      <c r="BU201" s="70"/>
      <c r="BV201" s="70"/>
      <c r="BW201" s="70"/>
      <c r="BX201" s="136"/>
      <c r="BY201" s="70"/>
      <c r="BZ201" s="67"/>
      <c r="CA201" s="67"/>
      <c r="CB201" s="67"/>
    </row>
    <row r="202" spans="1:80" s="28" customFormat="1" ht="16" customHeight="1">
      <c r="A202" s="39"/>
      <c r="B202" s="57"/>
      <c r="C202" s="67"/>
      <c r="D202" s="67"/>
      <c r="E202" s="39"/>
      <c r="F202" s="39"/>
      <c r="G202" s="39"/>
      <c r="H202" s="67"/>
      <c r="I202" s="60"/>
      <c r="J202" s="60"/>
      <c r="K202" s="60"/>
      <c r="L202" s="60"/>
      <c r="M202" s="60"/>
      <c r="N202" s="60"/>
      <c r="O202" s="60"/>
      <c r="P202" s="60"/>
      <c r="Q202" s="60"/>
      <c r="R202" s="60"/>
      <c r="S202" s="70"/>
      <c r="T202" s="70"/>
      <c r="U202" s="70"/>
      <c r="V202" s="70"/>
      <c r="W202" s="70"/>
      <c r="X202" s="70"/>
      <c r="Y202" s="70"/>
      <c r="Z202" s="70"/>
      <c r="AA202" s="70"/>
      <c r="AB202" s="70"/>
      <c r="AC202" s="70"/>
      <c r="AD202" s="136"/>
      <c r="AE202" s="24"/>
      <c r="AF202" s="24"/>
      <c r="AG202" s="73"/>
      <c r="AH202" s="125"/>
      <c r="AI202" s="103"/>
      <c r="AK202" s="113"/>
      <c r="AL202" s="113"/>
      <c r="AM202" s="113"/>
      <c r="AN202" s="113"/>
      <c r="AO202" s="137"/>
      <c r="AP202" s="137"/>
      <c r="AQ202" s="137"/>
      <c r="AR202" s="137"/>
      <c r="AS202" s="137"/>
      <c r="AT202" s="137"/>
      <c r="AU202" s="67"/>
      <c r="AV202" s="44"/>
      <c r="AW202" s="67"/>
      <c r="AX202" s="75"/>
      <c r="AY202" s="123"/>
      <c r="AZ202" s="67"/>
      <c r="BA202" s="138"/>
      <c r="BB202" s="67"/>
      <c r="BC202" s="67"/>
      <c r="BD202" s="67"/>
      <c r="BE202" s="67"/>
      <c r="BF202" s="67"/>
      <c r="BG202" s="67"/>
      <c r="BH202" s="67"/>
      <c r="BI202" s="67"/>
      <c r="BJ202" s="67"/>
      <c r="BK202" s="67"/>
      <c r="BL202" s="67"/>
      <c r="BM202" s="70"/>
      <c r="BN202" s="70"/>
      <c r="BO202" s="70"/>
      <c r="BP202" s="70"/>
      <c r="BQ202" s="70"/>
      <c r="BR202" s="70"/>
      <c r="BS202" s="70"/>
      <c r="BT202" s="70"/>
      <c r="BU202" s="70"/>
      <c r="BV202" s="70"/>
      <c r="BW202" s="70"/>
      <c r="BX202" s="136"/>
      <c r="BY202" s="70"/>
      <c r="BZ202" s="67"/>
      <c r="CA202" s="67"/>
      <c r="CB202" s="67"/>
    </row>
    <row r="203" spans="1:80" s="28" customFormat="1" ht="16" customHeight="1">
      <c r="A203" s="39"/>
      <c r="B203" s="57"/>
      <c r="C203" s="67"/>
      <c r="D203" s="67"/>
      <c r="E203" s="39"/>
      <c r="F203" s="39"/>
      <c r="G203" s="39"/>
      <c r="H203" s="67"/>
      <c r="I203" s="60"/>
      <c r="J203" s="60"/>
      <c r="K203" s="60"/>
      <c r="L203" s="60"/>
      <c r="M203" s="60"/>
      <c r="N203" s="60"/>
      <c r="O203" s="60"/>
      <c r="P203" s="60"/>
      <c r="Q203" s="60"/>
      <c r="R203" s="60"/>
      <c r="S203" s="70"/>
      <c r="T203" s="70"/>
      <c r="U203" s="70"/>
      <c r="V203" s="70"/>
      <c r="W203" s="70"/>
      <c r="X203" s="70"/>
      <c r="Y203" s="70"/>
      <c r="Z203" s="70"/>
      <c r="AA203" s="70"/>
      <c r="AB203" s="70"/>
      <c r="AC203" s="70"/>
      <c r="AD203" s="136"/>
      <c r="AE203" s="24"/>
      <c r="AF203" s="24"/>
      <c r="AG203" s="73"/>
      <c r="AH203" s="125"/>
      <c r="AI203" s="103"/>
      <c r="AK203" s="113"/>
      <c r="AL203" s="113"/>
      <c r="AM203" s="113"/>
      <c r="AN203" s="113"/>
      <c r="AO203" s="137"/>
      <c r="AP203" s="137"/>
      <c r="AQ203" s="137"/>
      <c r="AR203" s="137"/>
      <c r="AS203" s="137"/>
      <c r="AT203" s="137"/>
      <c r="AU203" s="67"/>
      <c r="AV203" s="44"/>
      <c r="AW203" s="67"/>
      <c r="AX203" s="75"/>
      <c r="AY203" s="123"/>
      <c r="AZ203" s="67"/>
      <c r="BA203" s="138"/>
      <c r="BB203" s="67"/>
      <c r="BC203" s="67"/>
      <c r="BD203" s="67"/>
      <c r="BE203" s="67"/>
      <c r="BF203" s="67"/>
      <c r="BG203" s="67"/>
      <c r="BH203" s="67"/>
      <c r="BI203" s="67"/>
      <c r="BJ203" s="67"/>
      <c r="BK203" s="67"/>
      <c r="BL203" s="67"/>
      <c r="BM203" s="70"/>
      <c r="BN203" s="70"/>
      <c r="BO203" s="70"/>
      <c r="BP203" s="70"/>
      <c r="BQ203" s="70"/>
      <c r="BR203" s="70"/>
      <c r="BS203" s="70"/>
      <c r="BT203" s="70"/>
      <c r="BU203" s="70"/>
      <c r="BV203" s="70"/>
      <c r="BW203" s="70"/>
      <c r="BX203" s="136"/>
      <c r="BY203" s="70"/>
      <c r="BZ203" s="67"/>
      <c r="CA203" s="67"/>
      <c r="CB203" s="67"/>
    </row>
    <row r="204" spans="1:80" s="28" customFormat="1" ht="16" customHeight="1">
      <c r="A204" s="39"/>
      <c r="B204" s="57"/>
      <c r="C204" s="67"/>
      <c r="D204" s="67"/>
      <c r="E204" s="39"/>
      <c r="F204" s="39"/>
      <c r="G204" s="39"/>
      <c r="H204" s="67"/>
      <c r="I204" s="60"/>
      <c r="J204" s="60"/>
      <c r="K204" s="60"/>
      <c r="L204" s="60"/>
      <c r="M204" s="60"/>
      <c r="N204" s="60"/>
      <c r="O204" s="60"/>
      <c r="P204" s="60"/>
      <c r="Q204" s="60"/>
      <c r="R204" s="60"/>
      <c r="S204" s="70"/>
      <c r="T204" s="70"/>
      <c r="U204" s="70"/>
      <c r="V204" s="70"/>
      <c r="W204" s="70"/>
      <c r="X204" s="70"/>
      <c r="Y204" s="70"/>
      <c r="Z204" s="70"/>
      <c r="AA204" s="70"/>
      <c r="AB204" s="70"/>
      <c r="AC204" s="70"/>
      <c r="AD204" s="136"/>
      <c r="AE204" s="24"/>
      <c r="AF204" s="24"/>
      <c r="AG204" s="73"/>
      <c r="AH204" s="125"/>
      <c r="AI204" s="103"/>
      <c r="AK204" s="113"/>
      <c r="AL204" s="113"/>
      <c r="AM204" s="113"/>
      <c r="AN204" s="113"/>
      <c r="AO204" s="137"/>
      <c r="AP204" s="137"/>
      <c r="AQ204" s="137"/>
      <c r="AR204" s="137"/>
      <c r="AS204" s="137"/>
      <c r="AT204" s="137"/>
      <c r="AU204" s="67"/>
      <c r="AV204" s="44"/>
      <c r="AW204" s="67"/>
      <c r="AX204" s="75"/>
      <c r="AY204" s="123"/>
      <c r="AZ204" s="67"/>
      <c r="BA204" s="138"/>
      <c r="BB204" s="67"/>
      <c r="BC204" s="67"/>
      <c r="BD204" s="67"/>
      <c r="BE204" s="67"/>
      <c r="BF204" s="67"/>
      <c r="BG204" s="67"/>
      <c r="BH204" s="67"/>
      <c r="BI204" s="67"/>
      <c r="BJ204" s="67"/>
      <c r="BK204" s="67"/>
      <c r="BL204" s="67"/>
      <c r="BM204" s="70"/>
      <c r="BN204" s="70"/>
      <c r="BO204" s="70"/>
      <c r="BP204" s="70"/>
      <c r="BQ204" s="70"/>
      <c r="BR204" s="70"/>
      <c r="BS204" s="70"/>
      <c r="BT204" s="70"/>
      <c r="BU204" s="70"/>
      <c r="BV204" s="70"/>
      <c r="BW204" s="70"/>
      <c r="BX204" s="136"/>
      <c r="BY204" s="70"/>
      <c r="BZ204" s="67"/>
      <c r="CA204" s="67"/>
      <c r="CB204" s="67"/>
    </row>
    <row r="205" spans="1:80" s="28" customFormat="1" ht="16" customHeight="1">
      <c r="A205" s="39"/>
      <c r="B205" s="57"/>
      <c r="C205" s="67"/>
      <c r="D205" s="67"/>
      <c r="E205" s="39"/>
      <c r="F205" s="39"/>
      <c r="G205" s="39"/>
      <c r="H205" s="67"/>
      <c r="I205" s="60"/>
      <c r="J205" s="60"/>
      <c r="K205" s="60"/>
      <c r="L205" s="60"/>
      <c r="M205" s="60"/>
      <c r="N205" s="60"/>
      <c r="O205" s="60"/>
      <c r="P205" s="60"/>
      <c r="Q205" s="60"/>
      <c r="R205" s="60"/>
      <c r="S205" s="70"/>
      <c r="T205" s="70"/>
      <c r="U205" s="70"/>
      <c r="V205" s="70"/>
      <c r="W205" s="70"/>
      <c r="X205" s="70"/>
      <c r="Y205" s="70"/>
      <c r="Z205" s="70"/>
      <c r="AA205" s="70"/>
      <c r="AB205" s="70"/>
      <c r="AC205" s="70"/>
      <c r="AD205" s="136"/>
      <c r="AE205" s="24"/>
      <c r="AF205" s="24"/>
      <c r="AG205" s="73"/>
      <c r="AH205" s="125"/>
      <c r="AI205" s="103"/>
      <c r="AK205" s="113"/>
      <c r="AL205" s="113"/>
      <c r="AM205" s="113"/>
      <c r="AN205" s="113"/>
      <c r="AO205" s="137"/>
      <c r="AP205" s="137"/>
      <c r="AQ205" s="137"/>
      <c r="AR205" s="137"/>
      <c r="AS205" s="137"/>
      <c r="AT205" s="137"/>
      <c r="AU205" s="67"/>
      <c r="AV205" s="44"/>
      <c r="AW205" s="67"/>
      <c r="AX205" s="75"/>
      <c r="AY205" s="123"/>
      <c r="AZ205" s="67"/>
      <c r="BA205" s="138"/>
      <c r="BB205" s="67"/>
      <c r="BC205" s="67"/>
      <c r="BD205" s="67"/>
      <c r="BE205" s="67"/>
      <c r="BF205" s="67"/>
      <c r="BG205" s="67"/>
      <c r="BH205" s="67"/>
      <c r="BI205" s="67"/>
      <c r="BJ205" s="67"/>
      <c r="BK205" s="67"/>
      <c r="BL205" s="67"/>
      <c r="BM205" s="70"/>
      <c r="BN205" s="70"/>
      <c r="BO205" s="70"/>
      <c r="BP205" s="70"/>
      <c r="BQ205" s="70"/>
      <c r="BR205" s="70"/>
      <c r="BS205" s="70"/>
      <c r="BT205" s="70"/>
      <c r="BU205" s="70"/>
      <c r="BV205" s="70"/>
      <c r="BW205" s="70"/>
      <c r="BX205" s="136"/>
      <c r="BY205" s="70"/>
      <c r="BZ205" s="67"/>
      <c r="CA205" s="67"/>
      <c r="CB205" s="67"/>
    </row>
    <row r="206" spans="1:80" s="28" customFormat="1" ht="16" customHeight="1">
      <c r="A206" s="39"/>
      <c r="B206" s="57"/>
      <c r="C206" s="67"/>
      <c r="D206" s="67"/>
      <c r="E206" s="39"/>
      <c r="F206" s="39"/>
      <c r="G206" s="39"/>
      <c r="H206" s="67"/>
      <c r="I206" s="60"/>
      <c r="J206" s="60"/>
      <c r="K206" s="60"/>
      <c r="L206" s="60"/>
      <c r="M206" s="60"/>
      <c r="N206" s="60"/>
      <c r="O206" s="60"/>
      <c r="P206" s="60"/>
      <c r="Q206" s="60"/>
      <c r="R206" s="60"/>
      <c r="S206" s="70"/>
      <c r="T206" s="70"/>
      <c r="U206" s="70"/>
      <c r="V206" s="70"/>
      <c r="W206" s="70"/>
      <c r="X206" s="70"/>
      <c r="Y206" s="70"/>
      <c r="Z206" s="70"/>
      <c r="AA206" s="70"/>
      <c r="AB206" s="70"/>
      <c r="AC206" s="70"/>
      <c r="AD206" s="136"/>
      <c r="AE206" s="24"/>
      <c r="AF206" s="24"/>
      <c r="AG206" s="73"/>
      <c r="AH206" s="125"/>
      <c r="AI206" s="103"/>
      <c r="AK206" s="113"/>
      <c r="AL206" s="113"/>
      <c r="AM206" s="113"/>
      <c r="AN206" s="113"/>
      <c r="AO206" s="137"/>
      <c r="AP206" s="137"/>
      <c r="AQ206" s="137"/>
      <c r="AR206" s="137"/>
      <c r="AS206" s="137"/>
      <c r="AT206" s="137"/>
      <c r="AU206" s="67"/>
      <c r="AV206" s="44"/>
      <c r="AW206" s="67"/>
      <c r="AX206" s="75"/>
      <c r="AY206" s="123"/>
      <c r="AZ206" s="67"/>
      <c r="BA206" s="138"/>
      <c r="BB206" s="67"/>
      <c r="BC206" s="67"/>
      <c r="BD206" s="67"/>
      <c r="BE206" s="67"/>
      <c r="BF206" s="67"/>
      <c r="BG206" s="67"/>
      <c r="BH206" s="67"/>
      <c r="BI206" s="67"/>
      <c r="BJ206" s="67"/>
      <c r="BK206" s="67"/>
      <c r="BL206" s="67"/>
      <c r="BM206" s="70"/>
      <c r="BN206" s="70"/>
      <c r="BO206" s="70"/>
      <c r="BP206" s="70"/>
      <c r="BQ206" s="70"/>
      <c r="BR206" s="70"/>
      <c r="BS206" s="70"/>
      <c r="BT206" s="70"/>
      <c r="BU206" s="70"/>
      <c r="BV206" s="70"/>
      <c r="BW206" s="70"/>
      <c r="BX206" s="136"/>
      <c r="BY206" s="70"/>
      <c r="BZ206" s="67"/>
      <c r="CA206" s="67"/>
      <c r="CB206" s="67"/>
    </row>
    <row r="207" spans="1:80" s="28" customFormat="1" ht="16" customHeight="1">
      <c r="A207" s="39"/>
      <c r="B207" s="57"/>
      <c r="C207" s="67"/>
      <c r="D207" s="67"/>
      <c r="E207" s="39"/>
      <c r="F207" s="39"/>
      <c r="G207" s="39"/>
      <c r="H207" s="67"/>
      <c r="I207" s="60"/>
      <c r="J207" s="60"/>
      <c r="K207" s="60"/>
      <c r="L207" s="60"/>
      <c r="M207" s="60"/>
      <c r="N207" s="60"/>
      <c r="O207" s="60"/>
      <c r="P207" s="60"/>
      <c r="Q207" s="60"/>
      <c r="R207" s="60"/>
      <c r="S207" s="70"/>
      <c r="T207" s="70"/>
      <c r="U207" s="70"/>
      <c r="V207" s="70"/>
      <c r="W207" s="70"/>
      <c r="X207" s="70"/>
      <c r="Y207" s="70"/>
      <c r="Z207" s="70"/>
      <c r="AA207" s="70"/>
      <c r="AB207" s="70"/>
      <c r="AC207" s="70"/>
      <c r="AD207" s="136"/>
      <c r="AE207" s="24"/>
      <c r="AF207" s="24"/>
      <c r="AG207" s="73"/>
      <c r="AH207" s="125"/>
      <c r="AI207" s="103"/>
      <c r="AK207" s="113"/>
      <c r="AL207" s="113"/>
      <c r="AM207" s="113"/>
      <c r="AN207" s="113"/>
      <c r="AO207" s="137"/>
      <c r="AP207" s="137"/>
      <c r="AQ207" s="137"/>
      <c r="AR207" s="137"/>
      <c r="AS207" s="137"/>
      <c r="AT207" s="137"/>
      <c r="AU207" s="67"/>
      <c r="AV207" s="44"/>
      <c r="AW207" s="67"/>
      <c r="AX207" s="75"/>
      <c r="AY207" s="123"/>
      <c r="AZ207" s="67"/>
      <c r="BA207" s="138"/>
      <c r="BB207" s="67"/>
      <c r="BC207" s="67"/>
      <c r="BD207" s="67"/>
      <c r="BE207" s="67"/>
      <c r="BF207" s="67"/>
      <c r="BG207" s="67"/>
      <c r="BH207" s="67"/>
      <c r="BI207" s="67"/>
      <c r="BJ207" s="67"/>
      <c r="BK207" s="67"/>
      <c r="BL207" s="67"/>
      <c r="BM207" s="70"/>
      <c r="BN207" s="70"/>
      <c r="BO207" s="70"/>
      <c r="BP207" s="70"/>
      <c r="BQ207" s="70"/>
      <c r="BR207" s="70"/>
      <c r="BS207" s="70"/>
      <c r="BT207" s="70"/>
      <c r="BU207" s="70"/>
      <c r="BV207" s="70"/>
      <c r="BW207" s="70"/>
      <c r="BX207" s="136"/>
      <c r="BY207" s="70"/>
      <c r="BZ207" s="67"/>
      <c r="CA207" s="67"/>
      <c r="CB207" s="67"/>
    </row>
    <row r="208" spans="1:80" s="28" customFormat="1" ht="16" customHeight="1">
      <c r="A208" s="39"/>
      <c r="B208" s="57"/>
      <c r="C208" s="67"/>
      <c r="D208" s="67"/>
      <c r="E208" s="39"/>
      <c r="F208" s="39"/>
      <c r="G208" s="39"/>
      <c r="H208" s="67"/>
      <c r="I208" s="60"/>
      <c r="J208" s="60"/>
      <c r="K208" s="60"/>
      <c r="L208" s="60"/>
      <c r="M208" s="60"/>
      <c r="N208" s="60"/>
      <c r="O208" s="60"/>
      <c r="P208" s="60"/>
      <c r="Q208" s="60"/>
      <c r="R208" s="60"/>
      <c r="S208" s="70"/>
      <c r="T208" s="70"/>
      <c r="U208" s="70"/>
      <c r="V208" s="70"/>
      <c r="W208" s="70"/>
      <c r="X208" s="70"/>
      <c r="Y208" s="70"/>
      <c r="Z208" s="70"/>
      <c r="AA208" s="70"/>
      <c r="AB208" s="70"/>
      <c r="AC208" s="70"/>
      <c r="AD208" s="136"/>
      <c r="AE208" s="24"/>
      <c r="AF208" s="24"/>
      <c r="AG208" s="73"/>
      <c r="AH208" s="125"/>
      <c r="AI208" s="103"/>
      <c r="AK208" s="113"/>
      <c r="AL208" s="113"/>
      <c r="AM208" s="113"/>
      <c r="AN208" s="113"/>
      <c r="AO208" s="137"/>
      <c r="AP208" s="137"/>
      <c r="AQ208" s="137"/>
      <c r="AR208" s="137"/>
      <c r="AS208" s="137"/>
      <c r="AT208" s="137"/>
      <c r="AU208" s="67"/>
      <c r="AV208" s="44"/>
      <c r="AW208" s="67"/>
      <c r="AX208" s="75"/>
      <c r="AY208" s="123"/>
      <c r="AZ208" s="67"/>
      <c r="BA208" s="138"/>
      <c r="BB208" s="67"/>
      <c r="BC208" s="67"/>
      <c r="BD208" s="67"/>
      <c r="BE208" s="67"/>
      <c r="BF208" s="67"/>
      <c r="BG208" s="67"/>
      <c r="BH208" s="67"/>
      <c r="BI208" s="67"/>
      <c r="BJ208" s="67"/>
      <c r="BK208" s="67"/>
      <c r="BL208" s="67"/>
      <c r="BM208" s="70"/>
      <c r="BN208" s="70"/>
      <c r="BO208" s="70"/>
      <c r="BP208" s="70"/>
      <c r="BQ208" s="70"/>
      <c r="BR208" s="70"/>
      <c r="BS208" s="70"/>
      <c r="BT208" s="70"/>
      <c r="BU208" s="70"/>
      <c r="BV208" s="70"/>
      <c r="BW208" s="70"/>
      <c r="BX208" s="136"/>
      <c r="BY208" s="70"/>
      <c r="BZ208" s="67"/>
      <c r="CA208" s="67"/>
      <c r="CB208" s="67"/>
    </row>
    <row r="209" spans="1:80" s="28" customFormat="1" ht="16" customHeight="1">
      <c r="A209" s="39"/>
      <c r="B209" s="57"/>
      <c r="C209" s="67"/>
      <c r="D209" s="67"/>
      <c r="E209" s="39"/>
      <c r="F209" s="39"/>
      <c r="G209" s="39"/>
      <c r="H209" s="67"/>
      <c r="I209" s="60"/>
      <c r="J209" s="60"/>
      <c r="K209" s="60"/>
      <c r="L209" s="60"/>
      <c r="M209" s="60"/>
      <c r="N209" s="60"/>
      <c r="O209" s="60"/>
      <c r="P209" s="60"/>
      <c r="Q209" s="60"/>
      <c r="R209" s="60"/>
      <c r="S209" s="70"/>
      <c r="T209" s="70"/>
      <c r="U209" s="70"/>
      <c r="V209" s="70"/>
      <c r="W209" s="70"/>
      <c r="X209" s="70"/>
      <c r="Y209" s="70"/>
      <c r="Z209" s="70"/>
      <c r="AA209" s="70"/>
      <c r="AB209" s="70"/>
      <c r="AC209" s="70"/>
      <c r="AD209" s="136"/>
      <c r="AE209" s="24"/>
      <c r="AF209" s="24"/>
      <c r="AG209" s="73"/>
      <c r="AH209" s="125"/>
      <c r="AI209" s="103"/>
      <c r="AK209" s="113"/>
      <c r="AL209" s="113"/>
      <c r="AM209" s="113"/>
      <c r="AN209" s="113"/>
      <c r="AO209" s="137"/>
      <c r="AP209" s="137"/>
      <c r="AQ209" s="137"/>
      <c r="AR209" s="137"/>
      <c r="AS209" s="137"/>
      <c r="AT209" s="137"/>
      <c r="AU209" s="67"/>
      <c r="AV209" s="44"/>
      <c r="AW209" s="67"/>
      <c r="AX209" s="75"/>
      <c r="AY209" s="123"/>
      <c r="AZ209" s="67"/>
      <c r="BA209" s="138"/>
      <c r="BB209" s="67"/>
      <c r="BC209" s="67"/>
      <c r="BD209" s="67"/>
      <c r="BE209" s="67"/>
      <c r="BF209" s="67"/>
      <c r="BG209" s="67"/>
      <c r="BH209" s="67"/>
      <c r="BI209" s="67"/>
      <c r="BJ209" s="67"/>
      <c r="BK209" s="67"/>
      <c r="BL209" s="67"/>
      <c r="BM209" s="70"/>
      <c r="BN209" s="70"/>
      <c r="BO209" s="70"/>
      <c r="BP209" s="70"/>
      <c r="BQ209" s="70"/>
      <c r="BR209" s="70"/>
      <c r="BS209" s="70"/>
      <c r="BT209" s="70"/>
      <c r="BU209" s="70"/>
      <c r="BV209" s="70"/>
      <c r="BW209" s="70"/>
      <c r="BX209" s="136"/>
      <c r="BY209" s="70"/>
      <c r="BZ209" s="67"/>
      <c r="CA209" s="67"/>
      <c r="CB209" s="67"/>
    </row>
    <row r="210" spans="1:80" s="28" customFormat="1" ht="16" customHeight="1">
      <c r="A210" s="39"/>
      <c r="B210" s="57"/>
      <c r="C210" s="67"/>
      <c r="D210" s="67"/>
      <c r="E210" s="39"/>
      <c r="F210" s="39"/>
      <c r="G210" s="39"/>
      <c r="H210" s="67"/>
      <c r="I210" s="60"/>
      <c r="J210" s="60"/>
      <c r="K210" s="60"/>
      <c r="L210" s="60"/>
      <c r="M210" s="60"/>
      <c r="N210" s="60"/>
      <c r="O210" s="60"/>
      <c r="P210" s="60"/>
      <c r="Q210" s="60"/>
      <c r="R210" s="60"/>
      <c r="S210" s="70"/>
      <c r="T210" s="70"/>
      <c r="U210" s="70"/>
      <c r="V210" s="70"/>
      <c r="W210" s="70"/>
      <c r="X210" s="70"/>
      <c r="Y210" s="70"/>
      <c r="Z210" s="70"/>
      <c r="AA210" s="70"/>
      <c r="AB210" s="70"/>
      <c r="AC210" s="70"/>
      <c r="AD210" s="136"/>
      <c r="AE210" s="24"/>
      <c r="AF210" s="24"/>
      <c r="AG210" s="73"/>
      <c r="AH210" s="125"/>
      <c r="AI210" s="103"/>
      <c r="AK210" s="113"/>
      <c r="AL210" s="113"/>
      <c r="AM210" s="113"/>
      <c r="AN210" s="113"/>
      <c r="AO210" s="137"/>
      <c r="AP210" s="137"/>
      <c r="AQ210" s="137"/>
      <c r="AR210" s="137"/>
      <c r="AS210" s="137"/>
      <c r="AT210" s="137"/>
      <c r="AU210" s="67"/>
      <c r="AV210" s="44"/>
      <c r="AW210" s="67"/>
      <c r="AX210" s="75"/>
      <c r="AY210" s="123"/>
      <c r="AZ210" s="67"/>
      <c r="BA210" s="138"/>
      <c r="BB210" s="67"/>
      <c r="BC210" s="67"/>
      <c r="BD210" s="67"/>
      <c r="BE210" s="67"/>
      <c r="BF210" s="67"/>
      <c r="BG210" s="67"/>
      <c r="BH210" s="67"/>
      <c r="BI210" s="67"/>
      <c r="BJ210" s="67"/>
      <c r="BK210" s="67"/>
      <c r="BL210" s="67"/>
      <c r="BM210" s="70"/>
      <c r="BN210" s="70"/>
      <c r="BO210" s="70"/>
      <c r="BP210" s="70"/>
      <c r="BQ210" s="70"/>
      <c r="BR210" s="70"/>
      <c r="BS210" s="70"/>
      <c r="BT210" s="70"/>
      <c r="BU210" s="70"/>
      <c r="BV210" s="70"/>
      <c r="BW210" s="70"/>
      <c r="BX210" s="136"/>
      <c r="BY210" s="70"/>
      <c r="BZ210" s="67"/>
      <c r="CA210" s="67"/>
      <c r="CB210" s="67"/>
    </row>
    <row r="211" spans="1:80" s="28" customFormat="1" ht="16" customHeight="1">
      <c r="A211" s="39"/>
      <c r="B211" s="57"/>
      <c r="C211" s="67"/>
      <c r="D211" s="67"/>
      <c r="E211" s="39"/>
      <c r="F211" s="39"/>
      <c r="G211" s="39"/>
      <c r="H211" s="67"/>
      <c r="I211" s="60"/>
      <c r="J211" s="60"/>
      <c r="K211" s="60"/>
      <c r="L211" s="60"/>
      <c r="M211" s="60"/>
      <c r="N211" s="60"/>
      <c r="O211" s="60"/>
      <c r="P211" s="60"/>
      <c r="Q211" s="60"/>
      <c r="R211" s="60"/>
      <c r="S211" s="70"/>
      <c r="T211" s="70"/>
      <c r="U211" s="70"/>
      <c r="V211" s="70"/>
      <c r="W211" s="70"/>
      <c r="X211" s="70"/>
      <c r="Y211" s="70"/>
      <c r="Z211" s="70"/>
      <c r="AA211" s="70"/>
      <c r="AB211" s="70"/>
      <c r="AC211" s="70"/>
      <c r="AD211" s="136"/>
      <c r="AE211" s="24"/>
      <c r="AF211" s="24"/>
      <c r="AG211" s="73"/>
      <c r="AH211" s="125"/>
      <c r="AI211" s="103"/>
      <c r="AK211" s="113"/>
      <c r="AL211" s="113"/>
      <c r="AM211" s="113"/>
      <c r="AN211" s="113"/>
      <c r="AO211" s="137"/>
      <c r="AP211" s="137"/>
      <c r="AQ211" s="137"/>
      <c r="AR211" s="137"/>
      <c r="AS211" s="137"/>
      <c r="AT211" s="137"/>
      <c r="AU211" s="67"/>
      <c r="AV211" s="44"/>
      <c r="AW211" s="67"/>
      <c r="AX211" s="75"/>
      <c r="AY211" s="123"/>
      <c r="AZ211" s="67"/>
      <c r="BA211" s="138"/>
      <c r="BB211" s="67"/>
      <c r="BC211" s="67"/>
      <c r="BD211" s="67"/>
      <c r="BE211" s="67"/>
      <c r="BF211" s="67"/>
      <c r="BG211" s="67"/>
      <c r="BH211" s="67"/>
      <c r="BI211" s="67"/>
      <c r="BJ211" s="67"/>
      <c r="BK211" s="67"/>
      <c r="BL211" s="67"/>
      <c r="BM211" s="70"/>
      <c r="BN211" s="70"/>
      <c r="BO211" s="70"/>
      <c r="BP211" s="70"/>
      <c r="BQ211" s="70"/>
      <c r="BR211" s="70"/>
      <c r="BS211" s="70"/>
      <c r="BT211" s="70"/>
      <c r="BU211" s="70"/>
      <c r="BV211" s="70"/>
      <c r="BW211" s="70"/>
      <c r="BX211" s="136"/>
      <c r="BY211" s="70"/>
      <c r="BZ211" s="67"/>
      <c r="CA211" s="67"/>
      <c r="CB211" s="67"/>
    </row>
    <row r="212" spans="1:80" s="28" customFormat="1" ht="16" customHeight="1">
      <c r="A212" s="39"/>
      <c r="B212" s="57"/>
      <c r="C212" s="67"/>
      <c r="D212" s="67"/>
      <c r="E212" s="39"/>
      <c r="F212" s="39"/>
      <c r="G212" s="39"/>
      <c r="H212" s="67"/>
      <c r="I212" s="60"/>
      <c r="J212" s="60"/>
      <c r="K212" s="60"/>
      <c r="L212" s="60"/>
      <c r="M212" s="60"/>
      <c r="N212" s="60"/>
      <c r="O212" s="60"/>
      <c r="P212" s="60"/>
      <c r="Q212" s="60"/>
      <c r="R212" s="60"/>
      <c r="S212" s="70"/>
      <c r="T212" s="70"/>
      <c r="U212" s="70"/>
      <c r="V212" s="70"/>
      <c r="W212" s="70"/>
      <c r="X212" s="70"/>
      <c r="Y212" s="70"/>
      <c r="Z212" s="70"/>
      <c r="AA212" s="70"/>
      <c r="AB212" s="70"/>
      <c r="AC212" s="70"/>
      <c r="AD212" s="136"/>
      <c r="AE212" s="24"/>
      <c r="AF212" s="24"/>
      <c r="AG212" s="73"/>
      <c r="AH212" s="125"/>
      <c r="AI212" s="103"/>
      <c r="AK212" s="113"/>
      <c r="AL212" s="113"/>
      <c r="AM212" s="113"/>
      <c r="AN212" s="113"/>
      <c r="AO212" s="137"/>
      <c r="AP212" s="137"/>
      <c r="AQ212" s="137"/>
      <c r="AR212" s="137"/>
      <c r="AS212" s="137"/>
      <c r="AT212" s="137"/>
      <c r="AU212" s="67"/>
      <c r="AV212" s="44"/>
      <c r="AW212" s="67"/>
      <c r="AX212" s="75"/>
      <c r="AY212" s="123"/>
      <c r="AZ212" s="67"/>
      <c r="BA212" s="138"/>
      <c r="BB212" s="67"/>
      <c r="BC212" s="67"/>
      <c r="BD212" s="67"/>
      <c r="BE212" s="67"/>
      <c r="BF212" s="67"/>
      <c r="BG212" s="67"/>
      <c r="BH212" s="67"/>
      <c r="BI212" s="67"/>
      <c r="BJ212" s="67"/>
      <c r="BK212" s="67"/>
      <c r="BL212" s="67"/>
      <c r="BM212" s="70"/>
      <c r="BN212" s="70"/>
      <c r="BO212" s="70"/>
      <c r="BP212" s="70"/>
      <c r="BQ212" s="70"/>
      <c r="BR212" s="70"/>
      <c r="BS212" s="70"/>
      <c r="BT212" s="70"/>
      <c r="BU212" s="70"/>
      <c r="BV212" s="70"/>
      <c r="BW212" s="70"/>
      <c r="BX212" s="136"/>
      <c r="BY212" s="70"/>
      <c r="BZ212" s="67"/>
      <c r="CA212" s="67"/>
      <c r="CB212" s="67"/>
    </row>
    <row r="213" spans="1:80" s="28" customFormat="1" ht="16" customHeight="1">
      <c r="A213" s="39"/>
      <c r="B213" s="57"/>
      <c r="C213" s="67"/>
      <c r="D213" s="67"/>
      <c r="E213" s="39"/>
      <c r="F213" s="39"/>
      <c r="G213" s="39"/>
      <c r="H213" s="67"/>
      <c r="I213" s="60"/>
      <c r="J213" s="60"/>
      <c r="K213" s="60"/>
      <c r="L213" s="60"/>
      <c r="M213" s="60"/>
      <c r="N213" s="60"/>
      <c r="O213" s="60"/>
      <c r="P213" s="60"/>
      <c r="Q213" s="60"/>
      <c r="R213" s="60"/>
      <c r="S213" s="70"/>
      <c r="T213" s="70"/>
      <c r="U213" s="70"/>
      <c r="V213" s="70"/>
      <c r="W213" s="70"/>
      <c r="X213" s="70"/>
      <c r="Y213" s="70"/>
      <c r="Z213" s="70"/>
      <c r="AA213" s="70"/>
      <c r="AB213" s="70"/>
      <c r="AC213" s="70"/>
      <c r="AD213" s="136"/>
      <c r="AE213" s="24"/>
      <c r="AF213" s="24"/>
      <c r="AG213" s="73"/>
      <c r="AH213" s="125"/>
      <c r="AI213" s="103"/>
      <c r="AK213" s="113"/>
      <c r="AL213" s="113"/>
      <c r="AM213" s="113"/>
      <c r="AN213" s="113"/>
      <c r="AO213" s="137"/>
      <c r="AP213" s="137"/>
      <c r="AQ213" s="137"/>
      <c r="AR213" s="137"/>
      <c r="AS213" s="137"/>
      <c r="AT213" s="137"/>
      <c r="AU213" s="67"/>
      <c r="AV213" s="44"/>
      <c r="AW213" s="67"/>
      <c r="AX213" s="75"/>
      <c r="AY213" s="123"/>
      <c r="AZ213" s="67"/>
      <c r="BA213" s="138"/>
      <c r="BB213" s="67"/>
      <c r="BC213" s="67"/>
      <c r="BD213" s="67"/>
      <c r="BE213" s="67"/>
      <c r="BF213" s="67"/>
      <c r="BG213" s="67"/>
      <c r="BH213" s="67"/>
      <c r="BI213" s="67"/>
      <c r="BJ213" s="67"/>
      <c r="BK213" s="67"/>
      <c r="BL213" s="67"/>
      <c r="BM213" s="70"/>
      <c r="BN213" s="70"/>
      <c r="BO213" s="70"/>
      <c r="BP213" s="70"/>
      <c r="BQ213" s="70"/>
      <c r="BR213" s="70"/>
      <c r="BS213" s="70"/>
      <c r="BT213" s="70"/>
      <c r="BU213" s="70"/>
      <c r="BV213" s="70"/>
      <c r="BW213" s="70"/>
      <c r="BX213" s="136"/>
      <c r="BY213" s="70"/>
      <c r="BZ213" s="67"/>
      <c r="CA213" s="67"/>
      <c r="CB213" s="67"/>
    </row>
    <row r="214" spans="1:80" s="28" customFormat="1" ht="16" customHeight="1">
      <c r="A214" s="39"/>
      <c r="B214" s="57"/>
      <c r="C214" s="67"/>
      <c r="D214" s="67"/>
      <c r="E214" s="39"/>
      <c r="F214" s="39"/>
      <c r="G214" s="39"/>
      <c r="H214" s="67"/>
      <c r="I214" s="60"/>
      <c r="J214" s="60"/>
      <c r="K214" s="60"/>
      <c r="L214" s="60"/>
      <c r="M214" s="60"/>
      <c r="N214" s="60"/>
      <c r="O214" s="60"/>
      <c r="P214" s="60"/>
      <c r="Q214" s="60"/>
      <c r="R214" s="60"/>
      <c r="S214" s="70"/>
      <c r="T214" s="70"/>
      <c r="U214" s="70"/>
      <c r="V214" s="70"/>
      <c r="W214" s="70"/>
      <c r="X214" s="70"/>
      <c r="Y214" s="70"/>
      <c r="Z214" s="70"/>
      <c r="AA214" s="70"/>
      <c r="AB214" s="70"/>
      <c r="AC214" s="70"/>
      <c r="AD214" s="136"/>
      <c r="AE214" s="24"/>
      <c r="AF214" s="24"/>
      <c r="AG214" s="73"/>
      <c r="AH214" s="125"/>
      <c r="AI214" s="103"/>
      <c r="AK214" s="113"/>
      <c r="AL214" s="113"/>
      <c r="AM214" s="113"/>
      <c r="AN214" s="113"/>
      <c r="AO214" s="137"/>
      <c r="AP214" s="137"/>
      <c r="AQ214" s="137"/>
      <c r="AR214" s="137"/>
      <c r="AS214" s="137"/>
      <c r="AT214" s="137"/>
      <c r="AU214" s="67"/>
      <c r="AV214" s="44"/>
      <c r="AW214" s="67"/>
      <c r="AX214" s="75"/>
      <c r="AY214" s="123"/>
      <c r="AZ214" s="67"/>
      <c r="BA214" s="138"/>
      <c r="BB214" s="67"/>
      <c r="BC214" s="67"/>
      <c r="BD214" s="67"/>
      <c r="BE214" s="67"/>
      <c r="BF214" s="67"/>
      <c r="BG214" s="67"/>
      <c r="BH214" s="67"/>
      <c r="BI214" s="67"/>
      <c r="BJ214" s="67"/>
      <c r="BK214" s="67"/>
      <c r="BL214" s="67"/>
      <c r="BM214" s="70"/>
      <c r="BN214" s="70"/>
      <c r="BO214" s="70"/>
      <c r="BP214" s="70"/>
      <c r="BQ214" s="70"/>
      <c r="BR214" s="70"/>
      <c r="BS214" s="70"/>
      <c r="BT214" s="70"/>
      <c r="BU214" s="70"/>
      <c r="BV214" s="70"/>
      <c r="BW214" s="70"/>
      <c r="BX214" s="136"/>
      <c r="BY214" s="70"/>
      <c r="BZ214" s="67"/>
      <c r="CA214" s="67"/>
      <c r="CB214" s="67"/>
    </row>
    <row r="215" spans="1:80" s="28" customFormat="1" ht="16" customHeight="1">
      <c r="A215" s="39"/>
      <c r="B215" s="57"/>
      <c r="C215" s="67"/>
      <c r="D215" s="67"/>
      <c r="E215" s="39"/>
      <c r="F215" s="39"/>
      <c r="G215" s="39"/>
      <c r="H215" s="67"/>
      <c r="I215" s="60"/>
      <c r="J215" s="60"/>
      <c r="K215" s="60"/>
      <c r="L215" s="60"/>
      <c r="M215" s="60"/>
      <c r="N215" s="60"/>
      <c r="O215" s="60"/>
      <c r="P215" s="60"/>
      <c r="Q215" s="60"/>
      <c r="R215" s="60"/>
      <c r="S215" s="70"/>
      <c r="T215" s="70"/>
      <c r="U215" s="70"/>
      <c r="V215" s="70"/>
      <c r="W215" s="70"/>
      <c r="X215" s="70"/>
      <c r="Y215" s="70"/>
      <c r="Z215" s="70"/>
      <c r="AA215" s="70"/>
      <c r="AB215" s="70"/>
      <c r="AC215" s="70"/>
      <c r="AD215" s="136"/>
      <c r="AE215" s="24"/>
      <c r="AF215" s="24"/>
      <c r="AG215" s="73"/>
      <c r="AH215" s="125"/>
      <c r="AI215" s="103"/>
      <c r="AK215" s="113"/>
      <c r="AL215" s="113"/>
      <c r="AM215" s="113"/>
      <c r="AN215" s="113"/>
      <c r="AO215" s="137"/>
      <c r="AP215" s="137"/>
      <c r="AQ215" s="137"/>
      <c r="AR215" s="137"/>
      <c r="AS215" s="137"/>
      <c r="AT215" s="137"/>
      <c r="AU215" s="67"/>
      <c r="AV215" s="44"/>
      <c r="AW215" s="67"/>
      <c r="AX215" s="75"/>
      <c r="AY215" s="123"/>
      <c r="AZ215" s="67"/>
      <c r="BA215" s="138"/>
      <c r="BB215" s="67"/>
      <c r="BC215" s="67"/>
      <c r="BD215" s="67"/>
      <c r="BE215" s="67"/>
      <c r="BF215" s="67"/>
      <c r="BG215" s="67"/>
      <c r="BH215" s="67"/>
      <c r="BI215" s="67"/>
      <c r="BJ215" s="67"/>
      <c r="BK215" s="67"/>
      <c r="BL215" s="67"/>
      <c r="BM215" s="70"/>
      <c r="BN215" s="70"/>
      <c r="BO215" s="70"/>
      <c r="BP215" s="70"/>
      <c r="BQ215" s="70"/>
      <c r="BR215" s="70"/>
      <c r="BS215" s="70"/>
      <c r="BT215" s="70"/>
      <c r="BU215" s="70"/>
      <c r="BV215" s="70"/>
      <c r="BW215" s="70"/>
      <c r="BX215" s="136"/>
      <c r="BY215" s="70"/>
      <c r="BZ215" s="67"/>
      <c r="CA215" s="67"/>
      <c r="CB215" s="67"/>
    </row>
    <row r="216" spans="1:80" s="28" customFormat="1" ht="16" customHeight="1">
      <c r="A216" s="39"/>
      <c r="B216" s="57"/>
      <c r="C216" s="67"/>
      <c r="D216" s="67"/>
      <c r="E216" s="39"/>
      <c r="F216" s="39"/>
      <c r="G216" s="39"/>
      <c r="H216" s="67"/>
      <c r="I216" s="60"/>
      <c r="J216" s="60"/>
      <c r="K216" s="60"/>
      <c r="L216" s="60"/>
      <c r="M216" s="60"/>
      <c r="N216" s="60"/>
      <c r="O216" s="60"/>
      <c r="P216" s="60"/>
      <c r="Q216" s="60"/>
      <c r="R216" s="60"/>
      <c r="S216" s="70"/>
      <c r="T216" s="70"/>
      <c r="U216" s="70"/>
      <c r="V216" s="70"/>
      <c r="W216" s="70"/>
      <c r="X216" s="70"/>
      <c r="Y216" s="70"/>
      <c r="Z216" s="70"/>
      <c r="AA216" s="70"/>
      <c r="AB216" s="70"/>
      <c r="AC216" s="70"/>
      <c r="AD216" s="136"/>
      <c r="AE216" s="24"/>
      <c r="AF216" s="24"/>
      <c r="AG216" s="73"/>
      <c r="AH216" s="125"/>
      <c r="AI216" s="103"/>
      <c r="AK216" s="113"/>
      <c r="AL216" s="113"/>
      <c r="AM216" s="113"/>
      <c r="AN216" s="113"/>
      <c r="AO216" s="137"/>
      <c r="AP216" s="137"/>
      <c r="AQ216" s="137"/>
      <c r="AR216" s="137"/>
      <c r="AS216" s="137"/>
      <c r="AT216" s="137"/>
      <c r="AU216" s="67"/>
      <c r="AV216" s="44"/>
      <c r="AW216" s="67"/>
      <c r="AX216" s="75"/>
      <c r="AY216" s="123"/>
      <c r="AZ216" s="67"/>
      <c r="BA216" s="138"/>
      <c r="BB216" s="67"/>
      <c r="BC216" s="67"/>
      <c r="BD216" s="67"/>
      <c r="BE216" s="67"/>
      <c r="BF216" s="67"/>
      <c r="BG216" s="67"/>
      <c r="BH216" s="67"/>
      <c r="BI216" s="67"/>
      <c r="BJ216" s="67"/>
      <c r="BK216" s="67"/>
      <c r="BL216" s="67"/>
      <c r="BM216" s="70"/>
      <c r="BN216" s="70"/>
      <c r="BO216" s="70"/>
      <c r="BP216" s="70"/>
      <c r="BQ216" s="70"/>
      <c r="BR216" s="70"/>
      <c r="BS216" s="70"/>
      <c r="BT216" s="70"/>
      <c r="BU216" s="70"/>
      <c r="BV216" s="70"/>
      <c r="BW216" s="70"/>
      <c r="BX216" s="136"/>
      <c r="BY216" s="70"/>
      <c r="BZ216" s="67"/>
      <c r="CA216" s="67"/>
      <c r="CB216" s="67"/>
    </row>
    <row r="217" spans="1:80" s="28" customFormat="1" ht="16" customHeight="1">
      <c r="A217" s="39"/>
      <c r="B217" s="57"/>
      <c r="C217" s="67"/>
      <c r="D217" s="67"/>
      <c r="E217" s="39"/>
      <c r="F217" s="39"/>
      <c r="G217" s="39"/>
      <c r="H217" s="67"/>
      <c r="I217" s="60"/>
      <c r="J217" s="60"/>
      <c r="K217" s="60"/>
      <c r="L217" s="60"/>
      <c r="M217" s="60"/>
      <c r="N217" s="60"/>
      <c r="O217" s="60"/>
      <c r="P217" s="60"/>
      <c r="Q217" s="60"/>
      <c r="R217" s="60"/>
      <c r="S217" s="70"/>
      <c r="T217" s="70"/>
      <c r="U217" s="70"/>
      <c r="V217" s="70"/>
      <c r="W217" s="70"/>
      <c r="X217" s="70"/>
      <c r="Y217" s="70"/>
      <c r="Z217" s="70"/>
      <c r="AA217" s="70"/>
      <c r="AB217" s="70"/>
      <c r="AC217" s="70"/>
      <c r="AD217" s="136"/>
      <c r="AE217" s="24"/>
      <c r="AF217" s="24"/>
      <c r="AG217" s="73"/>
      <c r="AH217" s="125"/>
      <c r="AI217" s="103"/>
      <c r="AK217" s="113"/>
      <c r="AL217" s="113"/>
      <c r="AM217" s="113"/>
      <c r="AN217" s="113"/>
      <c r="AO217" s="137"/>
      <c r="AP217" s="137"/>
      <c r="AQ217" s="137"/>
      <c r="AR217" s="137"/>
      <c r="AS217" s="137"/>
      <c r="AT217" s="137"/>
      <c r="AU217" s="67"/>
      <c r="AV217" s="44"/>
      <c r="AW217" s="67"/>
      <c r="AX217" s="75"/>
      <c r="AY217" s="123"/>
      <c r="AZ217" s="67"/>
      <c r="BA217" s="138"/>
      <c r="BB217" s="67"/>
      <c r="BC217" s="67"/>
      <c r="BD217" s="67"/>
      <c r="BE217" s="67"/>
      <c r="BF217" s="67"/>
      <c r="BG217" s="67"/>
      <c r="BH217" s="67"/>
      <c r="BI217" s="67"/>
      <c r="BJ217" s="67"/>
      <c r="BK217" s="67"/>
      <c r="BL217" s="67"/>
      <c r="BM217" s="70"/>
      <c r="BN217" s="70"/>
      <c r="BO217" s="70"/>
      <c r="BP217" s="70"/>
      <c r="BQ217" s="70"/>
      <c r="BR217" s="70"/>
      <c r="BS217" s="70"/>
      <c r="BT217" s="70"/>
      <c r="BU217" s="70"/>
      <c r="BV217" s="70"/>
      <c r="BW217" s="70"/>
      <c r="BX217" s="136"/>
      <c r="BY217" s="70"/>
      <c r="BZ217" s="67"/>
      <c r="CA217" s="67"/>
      <c r="CB217" s="67"/>
    </row>
    <row r="218" spans="1:80" s="28" customFormat="1" ht="16" customHeight="1">
      <c r="A218" s="39"/>
      <c r="B218" s="57"/>
      <c r="C218" s="67"/>
      <c r="D218" s="67"/>
      <c r="E218" s="39"/>
      <c r="F218" s="39"/>
      <c r="G218" s="39"/>
      <c r="H218" s="67"/>
      <c r="I218" s="60"/>
      <c r="J218" s="60"/>
      <c r="K218" s="60"/>
      <c r="L218" s="60"/>
      <c r="M218" s="60"/>
      <c r="N218" s="60"/>
      <c r="O218" s="60"/>
      <c r="P218" s="60"/>
      <c r="Q218" s="60"/>
      <c r="R218" s="60"/>
      <c r="S218" s="70"/>
      <c r="T218" s="70"/>
      <c r="U218" s="70"/>
      <c r="V218" s="70"/>
      <c r="W218" s="70"/>
      <c r="X218" s="70"/>
      <c r="Y218" s="70"/>
      <c r="Z218" s="70"/>
      <c r="AA218" s="70"/>
      <c r="AB218" s="70"/>
      <c r="AC218" s="70"/>
      <c r="AD218" s="136"/>
      <c r="AE218" s="24"/>
      <c r="AF218" s="24"/>
      <c r="AG218" s="73"/>
      <c r="AH218" s="125"/>
      <c r="AI218" s="103"/>
      <c r="AK218" s="113"/>
      <c r="AL218" s="113"/>
      <c r="AM218" s="113"/>
      <c r="AN218" s="113"/>
      <c r="AO218" s="137"/>
      <c r="AP218" s="137"/>
      <c r="AQ218" s="137"/>
      <c r="AR218" s="137"/>
      <c r="AS218" s="137"/>
      <c r="AT218" s="137"/>
      <c r="AU218" s="67"/>
      <c r="AV218" s="44"/>
      <c r="AW218" s="67"/>
      <c r="AX218" s="75"/>
      <c r="AY218" s="123"/>
      <c r="AZ218" s="67"/>
      <c r="BA218" s="138"/>
      <c r="BB218" s="67"/>
      <c r="BC218" s="67"/>
      <c r="BD218" s="67"/>
      <c r="BE218" s="67"/>
      <c r="BF218" s="67"/>
      <c r="BG218" s="67"/>
      <c r="BH218" s="67"/>
      <c r="BI218" s="67"/>
      <c r="BJ218" s="67"/>
      <c r="BK218" s="67"/>
      <c r="BL218" s="67"/>
      <c r="BM218" s="70"/>
      <c r="BN218" s="70"/>
      <c r="BO218" s="70"/>
      <c r="BP218" s="70"/>
      <c r="BQ218" s="70"/>
      <c r="BR218" s="70"/>
      <c r="BS218" s="70"/>
      <c r="BT218" s="70"/>
      <c r="BU218" s="70"/>
      <c r="BV218" s="70"/>
      <c r="BW218" s="70"/>
      <c r="BX218" s="136"/>
      <c r="BY218" s="70"/>
      <c r="BZ218" s="67"/>
      <c r="CA218" s="67"/>
      <c r="CB218" s="67"/>
    </row>
    <row r="219" spans="1:80" s="28" customFormat="1" ht="16" customHeight="1">
      <c r="A219" s="39"/>
      <c r="B219" s="57"/>
      <c r="C219" s="67"/>
      <c r="D219" s="67"/>
      <c r="E219" s="39"/>
      <c r="F219" s="39"/>
      <c r="G219" s="39"/>
      <c r="H219" s="67"/>
      <c r="I219" s="60"/>
      <c r="J219" s="60"/>
      <c r="K219" s="60"/>
      <c r="L219" s="60"/>
      <c r="M219" s="60"/>
      <c r="N219" s="60"/>
      <c r="O219" s="60"/>
      <c r="P219" s="60"/>
      <c r="Q219" s="60"/>
      <c r="R219" s="60"/>
      <c r="S219" s="70"/>
      <c r="T219" s="70"/>
      <c r="U219" s="70"/>
      <c r="V219" s="70"/>
      <c r="W219" s="70"/>
      <c r="X219" s="70"/>
      <c r="Y219" s="70"/>
      <c r="Z219" s="70"/>
      <c r="AA219" s="70"/>
      <c r="AB219" s="70"/>
      <c r="AC219" s="70"/>
      <c r="AD219" s="136"/>
      <c r="AE219" s="24"/>
      <c r="AF219" s="24"/>
      <c r="AG219" s="73"/>
      <c r="AH219" s="125"/>
      <c r="AI219" s="103"/>
      <c r="AK219" s="113"/>
      <c r="AL219" s="113"/>
      <c r="AM219" s="113"/>
      <c r="AN219" s="113"/>
      <c r="AO219" s="137"/>
      <c r="AP219" s="137"/>
      <c r="AQ219" s="137"/>
      <c r="AR219" s="137"/>
      <c r="AS219" s="137"/>
      <c r="AT219" s="137"/>
      <c r="AU219" s="67"/>
      <c r="AV219" s="44"/>
      <c r="AW219" s="67"/>
      <c r="AX219" s="75"/>
      <c r="AY219" s="123"/>
      <c r="AZ219" s="67"/>
      <c r="BA219" s="138"/>
      <c r="BB219" s="67"/>
      <c r="BC219" s="67"/>
      <c r="BD219" s="67"/>
      <c r="BE219" s="67"/>
      <c r="BF219" s="67"/>
      <c r="BG219" s="67"/>
      <c r="BH219" s="67"/>
      <c r="BI219" s="67"/>
      <c r="BJ219" s="67"/>
      <c r="BK219" s="67"/>
      <c r="BL219" s="67"/>
      <c r="BM219" s="70"/>
      <c r="BN219" s="70"/>
      <c r="BO219" s="70"/>
      <c r="BP219" s="70"/>
      <c r="BQ219" s="70"/>
      <c r="BR219" s="70"/>
      <c r="BS219" s="70"/>
      <c r="BT219" s="70"/>
      <c r="BU219" s="70"/>
      <c r="BV219" s="70"/>
      <c r="BW219" s="70"/>
      <c r="BX219" s="136"/>
      <c r="BY219" s="70"/>
      <c r="BZ219" s="67"/>
      <c r="CA219" s="67"/>
      <c r="CB219" s="67"/>
    </row>
    <row r="220" spans="1:80" s="28" customFormat="1" ht="16" customHeight="1">
      <c r="A220" s="39"/>
      <c r="B220" s="57"/>
      <c r="C220" s="67"/>
      <c r="D220" s="67"/>
      <c r="E220" s="39"/>
      <c r="F220" s="39"/>
      <c r="G220" s="39"/>
      <c r="H220" s="67"/>
      <c r="I220" s="60"/>
      <c r="J220" s="60"/>
      <c r="K220" s="60"/>
      <c r="L220" s="60"/>
      <c r="M220" s="60"/>
      <c r="N220" s="60"/>
      <c r="O220" s="60"/>
      <c r="P220" s="60"/>
      <c r="Q220" s="60"/>
      <c r="R220" s="60"/>
      <c r="S220" s="70"/>
      <c r="T220" s="70"/>
      <c r="U220" s="70"/>
      <c r="V220" s="70"/>
      <c r="W220" s="70"/>
      <c r="X220" s="70"/>
      <c r="Y220" s="70"/>
      <c r="Z220" s="70"/>
      <c r="AA220" s="70"/>
      <c r="AB220" s="70"/>
      <c r="AC220" s="70"/>
      <c r="AD220" s="136"/>
      <c r="AE220" s="24"/>
      <c r="AF220" s="24"/>
      <c r="AG220" s="73"/>
      <c r="AH220" s="125"/>
      <c r="AI220" s="103"/>
      <c r="AK220" s="113"/>
      <c r="AL220" s="113"/>
      <c r="AM220" s="113"/>
      <c r="AN220" s="113"/>
      <c r="AO220" s="137"/>
      <c r="AP220" s="137"/>
      <c r="AQ220" s="137"/>
      <c r="AR220" s="137"/>
      <c r="AS220" s="137"/>
      <c r="AT220" s="137"/>
      <c r="AU220" s="67"/>
      <c r="AV220" s="44"/>
      <c r="AW220" s="67"/>
      <c r="AX220" s="75"/>
      <c r="AY220" s="123"/>
      <c r="AZ220" s="67"/>
      <c r="BA220" s="138"/>
      <c r="BB220" s="67"/>
      <c r="BC220" s="67"/>
      <c r="BD220" s="67"/>
      <c r="BE220" s="67"/>
      <c r="BF220" s="67"/>
      <c r="BG220" s="67"/>
      <c r="BH220" s="67"/>
      <c r="BI220" s="67"/>
      <c r="BJ220" s="67"/>
      <c r="BK220" s="67"/>
      <c r="BL220" s="67"/>
      <c r="BM220" s="70"/>
      <c r="BN220" s="70"/>
      <c r="BO220" s="70"/>
      <c r="BP220" s="70"/>
      <c r="BQ220" s="70"/>
      <c r="BR220" s="70"/>
      <c r="BS220" s="70"/>
      <c r="BT220" s="70"/>
      <c r="BU220" s="70"/>
      <c r="BV220" s="70"/>
      <c r="BW220" s="70"/>
      <c r="BX220" s="136"/>
      <c r="BY220" s="70"/>
      <c r="BZ220" s="67"/>
      <c r="CA220" s="67"/>
      <c r="CB220" s="67"/>
    </row>
    <row r="221" spans="1:80" s="28" customFormat="1" ht="16" customHeight="1">
      <c r="A221" s="39"/>
      <c r="B221" s="57"/>
      <c r="C221" s="67"/>
      <c r="D221" s="67"/>
      <c r="E221" s="39"/>
      <c r="F221" s="39"/>
      <c r="G221" s="39"/>
      <c r="H221" s="67"/>
      <c r="I221" s="60"/>
      <c r="J221" s="60"/>
      <c r="K221" s="60"/>
      <c r="L221" s="60"/>
      <c r="M221" s="60"/>
      <c r="N221" s="60"/>
      <c r="O221" s="60"/>
      <c r="P221" s="60"/>
      <c r="Q221" s="60"/>
      <c r="R221" s="60"/>
      <c r="S221" s="70"/>
      <c r="T221" s="70"/>
      <c r="U221" s="70"/>
      <c r="V221" s="70"/>
      <c r="W221" s="70"/>
      <c r="X221" s="70"/>
      <c r="Y221" s="70"/>
      <c r="Z221" s="70"/>
      <c r="AA221" s="70"/>
      <c r="AB221" s="70"/>
      <c r="AC221" s="70"/>
      <c r="AD221" s="136"/>
      <c r="AE221" s="24"/>
      <c r="AF221" s="24"/>
      <c r="AG221" s="73"/>
      <c r="AH221" s="125"/>
      <c r="AI221" s="103"/>
      <c r="AK221" s="113"/>
      <c r="AL221" s="113"/>
      <c r="AM221" s="113"/>
      <c r="AN221" s="113"/>
      <c r="AO221" s="137"/>
      <c r="AP221" s="137"/>
      <c r="AQ221" s="137"/>
      <c r="AR221" s="137"/>
      <c r="AS221" s="137"/>
      <c r="AT221" s="137"/>
      <c r="AU221" s="67"/>
      <c r="AV221" s="44"/>
      <c r="AW221" s="67"/>
      <c r="AX221" s="75"/>
      <c r="AY221" s="123"/>
      <c r="AZ221" s="67"/>
      <c r="BA221" s="138"/>
      <c r="BB221" s="67"/>
      <c r="BC221" s="67"/>
      <c r="BD221" s="67"/>
      <c r="BE221" s="67"/>
      <c r="BF221" s="67"/>
      <c r="BG221" s="67"/>
      <c r="BH221" s="67"/>
      <c r="BI221" s="67"/>
      <c r="BJ221" s="67"/>
      <c r="BK221" s="67"/>
      <c r="BL221" s="67"/>
      <c r="BM221" s="70"/>
      <c r="BN221" s="70"/>
      <c r="BO221" s="70"/>
      <c r="BP221" s="70"/>
      <c r="BQ221" s="70"/>
      <c r="BR221" s="70"/>
      <c r="BS221" s="70"/>
      <c r="BT221" s="70"/>
      <c r="BU221" s="70"/>
      <c r="BV221" s="70"/>
      <c r="BW221" s="70"/>
      <c r="BX221" s="136"/>
      <c r="BY221" s="70"/>
      <c r="BZ221" s="67"/>
      <c r="CA221" s="67"/>
      <c r="CB221" s="67"/>
    </row>
    <row r="222" spans="1:80" s="28" customFormat="1" ht="16" customHeight="1">
      <c r="A222" s="39"/>
      <c r="B222" s="57"/>
      <c r="C222" s="67"/>
      <c r="D222" s="67"/>
      <c r="E222" s="39"/>
      <c r="F222" s="39"/>
      <c r="G222" s="39"/>
      <c r="H222" s="67"/>
      <c r="I222" s="60"/>
      <c r="J222" s="60"/>
      <c r="K222" s="60"/>
      <c r="L222" s="60"/>
      <c r="M222" s="60"/>
      <c r="N222" s="60"/>
      <c r="O222" s="60"/>
      <c r="P222" s="60"/>
      <c r="Q222" s="60"/>
      <c r="R222" s="60"/>
      <c r="S222" s="70"/>
      <c r="T222" s="70"/>
      <c r="U222" s="70"/>
      <c r="V222" s="70"/>
      <c r="W222" s="70"/>
      <c r="X222" s="70"/>
      <c r="Y222" s="70"/>
      <c r="Z222" s="70"/>
      <c r="AA222" s="70"/>
      <c r="AB222" s="70"/>
      <c r="AC222" s="70"/>
      <c r="AD222" s="136"/>
      <c r="AE222" s="24"/>
      <c r="AF222" s="24"/>
      <c r="AG222" s="73"/>
      <c r="AH222" s="125"/>
      <c r="AI222" s="103"/>
      <c r="AK222" s="113"/>
      <c r="AL222" s="113"/>
      <c r="AM222" s="113"/>
      <c r="AN222" s="113"/>
      <c r="AO222" s="137"/>
      <c r="AP222" s="137"/>
      <c r="AQ222" s="137"/>
      <c r="AR222" s="137"/>
      <c r="AS222" s="137"/>
      <c r="AT222" s="137"/>
      <c r="AU222" s="67"/>
      <c r="AV222" s="44"/>
      <c r="AW222" s="67"/>
      <c r="AX222" s="75"/>
      <c r="AY222" s="123"/>
      <c r="AZ222" s="67"/>
      <c r="BA222" s="138"/>
      <c r="BB222" s="67"/>
      <c r="BC222" s="67"/>
      <c r="BD222" s="67"/>
      <c r="BE222" s="67"/>
      <c r="BF222" s="67"/>
      <c r="BG222" s="67"/>
      <c r="BH222" s="67"/>
      <c r="BI222" s="67"/>
      <c r="BJ222" s="67"/>
      <c r="BK222" s="67"/>
      <c r="BL222" s="67"/>
      <c r="BM222" s="70"/>
      <c r="BN222" s="70"/>
      <c r="BO222" s="70"/>
      <c r="BP222" s="70"/>
      <c r="BQ222" s="70"/>
      <c r="BR222" s="70"/>
      <c r="BS222" s="70"/>
      <c r="BT222" s="70"/>
      <c r="BU222" s="70"/>
      <c r="BV222" s="70"/>
      <c r="BW222" s="70"/>
      <c r="BX222" s="136"/>
      <c r="BY222" s="70"/>
      <c r="BZ222" s="67"/>
      <c r="CA222" s="67"/>
      <c r="CB222" s="67"/>
    </row>
    <row r="223" spans="1:80" s="28" customFormat="1" ht="16" customHeight="1">
      <c r="A223" s="39"/>
      <c r="B223" s="57"/>
      <c r="C223" s="67"/>
      <c r="D223" s="67"/>
      <c r="E223" s="39"/>
      <c r="F223" s="39"/>
      <c r="G223" s="39"/>
      <c r="H223" s="67"/>
      <c r="I223" s="60"/>
      <c r="J223" s="60"/>
      <c r="K223" s="60"/>
      <c r="L223" s="60"/>
      <c r="M223" s="60"/>
      <c r="N223" s="60"/>
      <c r="O223" s="60"/>
      <c r="P223" s="60"/>
      <c r="Q223" s="60"/>
      <c r="R223" s="60"/>
      <c r="S223" s="70"/>
      <c r="T223" s="70"/>
      <c r="U223" s="70"/>
      <c r="V223" s="70"/>
      <c r="W223" s="70"/>
      <c r="X223" s="70"/>
      <c r="Y223" s="70"/>
      <c r="Z223" s="70"/>
      <c r="AA223" s="70"/>
      <c r="AB223" s="70"/>
      <c r="AC223" s="70"/>
      <c r="AD223" s="136"/>
      <c r="AE223" s="24"/>
      <c r="AF223" s="24"/>
      <c r="AG223" s="73"/>
      <c r="AH223" s="125"/>
      <c r="AI223" s="103"/>
      <c r="AK223" s="113"/>
      <c r="AL223" s="113"/>
      <c r="AM223" s="113"/>
      <c r="AN223" s="113"/>
      <c r="AO223" s="137"/>
      <c r="AP223" s="137"/>
      <c r="AQ223" s="137"/>
      <c r="AR223" s="137"/>
      <c r="AS223" s="137"/>
      <c r="AT223" s="137"/>
      <c r="AU223" s="67"/>
      <c r="AV223" s="44"/>
      <c r="AW223" s="67"/>
      <c r="AX223" s="75"/>
      <c r="AY223" s="123"/>
      <c r="AZ223" s="67"/>
      <c r="BA223" s="138"/>
      <c r="BB223" s="67"/>
      <c r="BC223" s="67"/>
      <c r="BD223" s="67"/>
      <c r="BE223" s="67"/>
      <c r="BF223" s="67"/>
      <c r="BG223" s="67"/>
      <c r="BH223" s="67"/>
      <c r="BI223" s="67"/>
      <c r="BJ223" s="67"/>
      <c r="BK223" s="67"/>
      <c r="BL223" s="67"/>
      <c r="BM223" s="70"/>
      <c r="BN223" s="70"/>
      <c r="BO223" s="70"/>
      <c r="BP223" s="70"/>
      <c r="BQ223" s="70"/>
      <c r="BR223" s="70"/>
      <c r="BS223" s="70"/>
      <c r="BT223" s="70"/>
      <c r="BU223" s="70"/>
      <c r="BV223" s="70"/>
      <c r="BW223" s="70"/>
      <c r="BX223" s="136"/>
      <c r="BY223" s="70"/>
      <c r="BZ223" s="67"/>
      <c r="CA223" s="67"/>
      <c r="CB223" s="67"/>
    </row>
    <row r="224" spans="1:80" s="28" customFormat="1" ht="16" customHeight="1">
      <c r="A224" s="39"/>
      <c r="B224" s="57"/>
      <c r="C224" s="67"/>
      <c r="D224" s="67"/>
      <c r="E224" s="39"/>
      <c r="F224" s="39"/>
      <c r="G224" s="39"/>
      <c r="H224" s="67"/>
      <c r="I224" s="60"/>
      <c r="J224" s="60"/>
      <c r="K224" s="60"/>
      <c r="L224" s="60"/>
      <c r="M224" s="60"/>
      <c r="N224" s="60"/>
      <c r="O224" s="60"/>
      <c r="P224" s="60"/>
      <c r="Q224" s="60"/>
      <c r="R224" s="60"/>
      <c r="S224" s="70"/>
      <c r="T224" s="70"/>
      <c r="U224" s="70"/>
      <c r="V224" s="70"/>
      <c r="W224" s="70"/>
      <c r="X224" s="70"/>
      <c r="Y224" s="70"/>
      <c r="Z224" s="70"/>
      <c r="AA224" s="70"/>
      <c r="AB224" s="70"/>
      <c r="AC224" s="70"/>
      <c r="AD224" s="136"/>
      <c r="AE224" s="24"/>
      <c r="AF224" s="24"/>
      <c r="AG224" s="73"/>
      <c r="AH224" s="125"/>
      <c r="AI224" s="103"/>
      <c r="AK224" s="113"/>
      <c r="AL224" s="113"/>
      <c r="AM224" s="113"/>
      <c r="AN224" s="113"/>
      <c r="AO224" s="137"/>
      <c r="AP224" s="137"/>
      <c r="AQ224" s="137"/>
      <c r="AR224" s="137"/>
      <c r="AS224" s="137"/>
      <c r="AT224" s="137"/>
      <c r="AU224" s="67"/>
      <c r="AV224" s="44"/>
      <c r="AW224" s="67"/>
      <c r="AX224" s="75"/>
      <c r="AY224" s="123"/>
      <c r="AZ224" s="67"/>
      <c r="BA224" s="138"/>
      <c r="BB224" s="67"/>
      <c r="BC224" s="67"/>
      <c r="BD224" s="67"/>
      <c r="BE224" s="67"/>
      <c r="BF224" s="67"/>
      <c r="BG224" s="67"/>
      <c r="BH224" s="67"/>
      <c r="BI224" s="67"/>
      <c r="BJ224" s="67"/>
      <c r="BK224" s="67"/>
      <c r="BL224" s="67"/>
      <c r="BM224" s="70"/>
      <c r="BN224" s="70"/>
      <c r="BO224" s="70"/>
      <c r="BP224" s="70"/>
      <c r="BQ224" s="70"/>
      <c r="BR224" s="70"/>
      <c r="BS224" s="70"/>
      <c r="BT224" s="70"/>
      <c r="BU224" s="70"/>
      <c r="BV224" s="70"/>
      <c r="BW224" s="70"/>
      <c r="BX224" s="136"/>
      <c r="BY224" s="70"/>
      <c r="BZ224" s="67"/>
      <c r="CA224" s="67"/>
      <c r="CB224" s="67"/>
    </row>
    <row r="225" spans="1:80" s="28" customFormat="1" ht="16" customHeight="1">
      <c r="A225" s="39"/>
      <c r="B225" s="57"/>
      <c r="C225" s="67"/>
      <c r="D225" s="67"/>
      <c r="E225" s="39"/>
      <c r="F225" s="39"/>
      <c r="G225" s="39"/>
      <c r="H225" s="67"/>
      <c r="I225" s="60"/>
      <c r="J225" s="60"/>
      <c r="K225" s="60"/>
      <c r="L225" s="60"/>
      <c r="M225" s="60"/>
      <c r="N225" s="60"/>
      <c r="O225" s="60"/>
      <c r="P225" s="60"/>
      <c r="Q225" s="60"/>
      <c r="R225" s="60"/>
      <c r="S225" s="70"/>
      <c r="T225" s="70"/>
      <c r="U225" s="70"/>
      <c r="V225" s="70"/>
      <c r="W225" s="70"/>
      <c r="X225" s="70"/>
      <c r="Y225" s="70"/>
      <c r="Z225" s="70"/>
      <c r="AA225" s="70"/>
      <c r="AB225" s="70"/>
      <c r="AC225" s="70"/>
      <c r="AD225" s="136"/>
      <c r="AE225" s="24"/>
      <c r="AF225" s="24"/>
      <c r="AG225" s="73"/>
      <c r="AH225" s="125"/>
      <c r="AI225" s="103"/>
      <c r="AK225" s="113"/>
      <c r="AL225" s="113"/>
      <c r="AM225" s="113"/>
      <c r="AN225" s="113"/>
      <c r="AO225" s="137"/>
      <c r="AP225" s="137"/>
      <c r="AQ225" s="137"/>
      <c r="AR225" s="137"/>
      <c r="AS225" s="137"/>
      <c r="AT225" s="137"/>
      <c r="AU225" s="67"/>
      <c r="AV225" s="44"/>
      <c r="AW225" s="67"/>
      <c r="AX225" s="75"/>
      <c r="AY225" s="123"/>
      <c r="AZ225" s="67"/>
      <c r="BA225" s="138"/>
      <c r="BB225" s="67"/>
      <c r="BC225" s="67"/>
      <c r="BD225" s="67"/>
      <c r="BE225" s="67"/>
      <c r="BF225" s="67"/>
      <c r="BG225" s="67"/>
      <c r="BH225" s="67"/>
      <c r="BI225" s="67"/>
      <c r="BJ225" s="67"/>
      <c r="BK225" s="67"/>
      <c r="BL225" s="67"/>
      <c r="BM225" s="70"/>
      <c r="BN225" s="70"/>
      <c r="BO225" s="70"/>
      <c r="BP225" s="70"/>
      <c r="BQ225" s="70"/>
      <c r="BR225" s="70"/>
      <c r="BS225" s="70"/>
      <c r="BT225" s="70"/>
      <c r="BU225" s="70"/>
      <c r="BV225" s="70"/>
      <c r="BW225" s="70"/>
      <c r="BX225" s="136"/>
      <c r="BY225" s="70"/>
      <c r="BZ225" s="67"/>
      <c r="CA225" s="67"/>
      <c r="CB225" s="67"/>
    </row>
    <row r="226" spans="1:80" s="28" customFormat="1" ht="16" customHeight="1">
      <c r="A226" s="39"/>
      <c r="B226" s="57"/>
      <c r="C226" s="67"/>
      <c r="D226" s="67"/>
      <c r="E226" s="39"/>
      <c r="F226" s="39"/>
      <c r="G226" s="39"/>
      <c r="H226" s="67"/>
      <c r="I226" s="60"/>
      <c r="J226" s="60"/>
      <c r="K226" s="60"/>
      <c r="L226" s="60"/>
      <c r="M226" s="60"/>
      <c r="N226" s="60"/>
      <c r="O226" s="60"/>
      <c r="P226" s="60"/>
      <c r="Q226" s="60"/>
      <c r="R226" s="60"/>
      <c r="S226" s="70"/>
      <c r="T226" s="70"/>
      <c r="U226" s="70"/>
      <c r="V226" s="70"/>
      <c r="W226" s="70"/>
      <c r="X226" s="70"/>
      <c r="Y226" s="70"/>
      <c r="Z226" s="70"/>
      <c r="AA226" s="70"/>
      <c r="AB226" s="70"/>
      <c r="AC226" s="70"/>
      <c r="AD226" s="136"/>
      <c r="AE226" s="24"/>
      <c r="AF226" s="24"/>
      <c r="AG226" s="73"/>
      <c r="AH226" s="125"/>
      <c r="AI226" s="103"/>
      <c r="AK226" s="113"/>
      <c r="AL226" s="113"/>
      <c r="AM226" s="113"/>
      <c r="AN226" s="113"/>
      <c r="AO226" s="137"/>
      <c r="AP226" s="137"/>
      <c r="AQ226" s="137"/>
      <c r="AR226" s="137"/>
      <c r="AS226" s="137"/>
      <c r="AT226" s="137"/>
      <c r="AU226" s="67"/>
      <c r="AV226" s="44"/>
      <c r="AW226" s="67"/>
      <c r="AX226" s="75"/>
      <c r="AY226" s="123"/>
      <c r="AZ226" s="67"/>
      <c r="BA226" s="138"/>
      <c r="BB226" s="67"/>
      <c r="BC226" s="67"/>
      <c r="BD226" s="67"/>
      <c r="BE226" s="67"/>
      <c r="BF226" s="67"/>
      <c r="BG226" s="67"/>
      <c r="BH226" s="67"/>
      <c r="BI226" s="67"/>
      <c r="BJ226" s="67"/>
      <c r="BK226" s="67"/>
      <c r="BL226" s="67"/>
      <c r="BM226" s="70"/>
      <c r="BN226" s="70"/>
      <c r="BO226" s="70"/>
      <c r="BP226" s="70"/>
      <c r="BQ226" s="70"/>
      <c r="BR226" s="70"/>
      <c r="BS226" s="70"/>
      <c r="BT226" s="70"/>
      <c r="BU226" s="70"/>
      <c r="BV226" s="70"/>
      <c r="BW226" s="70"/>
      <c r="BX226" s="136"/>
      <c r="BY226" s="70"/>
      <c r="BZ226" s="67"/>
      <c r="CA226" s="67"/>
      <c r="CB226" s="67"/>
    </row>
    <row r="227" spans="1:80" s="28" customFormat="1" ht="16" customHeight="1">
      <c r="A227" s="39"/>
      <c r="B227" s="57"/>
      <c r="C227" s="67"/>
      <c r="D227" s="67"/>
      <c r="E227" s="39"/>
      <c r="F227" s="39"/>
      <c r="G227" s="39"/>
      <c r="H227" s="67"/>
      <c r="I227" s="60"/>
      <c r="J227" s="60"/>
      <c r="K227" s="60"/>
      <c r="L227" s="60"/>
      <c r="M227" s="60"/>
      <c r="N227" s="60"/>
      <c r="O227" s="60"/>
      <c r="P227" s="60"/>
      <c r="Q227" s="60"/>
      <c r="R227" s="60"/>
      <c r="S227" s="70"/>
      <c r="T227" s="70"/>
      <c r="U227" s="70"/>
      <c r="V227" s="70"/>
      <c r="W227" s="70"/>
      <c r="X227" s="70"/>
      <c r="Y227" s="70"/>
      <c r="Z227" s="70"/>
      <c r="AA227" s="70"/>
      <c r="AB227" s="70"/>
      <c r="AC227" s="70"/>
      <c r="AD227" s="136"/>
      <c r="AE227" s="24"/>
      <c r="AF227" s="24"/>
      <c r="AG227" s="73"/>
      <c r="AH227" s="125"/>
      <c r="AI227" s="103"/>
      <c r="AK227" s="113"/>
      <c r="AL227" s="113"/>
      <c r="AM227" s="113"/>
      <c r="AN227" s="113"/>
      <c r="AO227" s="137"/>
      <c r="AP227" s="137"/>
      <c r="AQ227" s="137"/>
      <c r="AR227" s="137"/>
      <c r="AS227" s="137"/>
      <c r="AT227" s="137"/>
      <c r="AU227" s="67"/>
      <c r="AV227" s="44"/>
      <c r="AW227" s="67"/>
      <c r="AX227" s="75"/>
      <c r="AY227" s="123"/>
      <c r="AZ227" s="67"/>
      <c r="BA227" s="138"/>
      <c r="BB227" s="67"/>
      <c r="BC227" s="67"/>
      <c r="BD227" s="67"/>
      <c r="BE227" s="67"/>
      <c r="BF227" s="67"/>
      <c r="BG227" s="67"/>
      <c r="BH227" s="67"/>
      <c r="BI227" s="67"/>
      <c r="BJ227" s="67"/>
      <c r="BK227" s="67"/>
      <c r="BL227" s="67"/>
      <c r="BM227" s="70"/>
      <c r="BN227" s="70"/>
      <c r="BO227" s="70"/>
      <c r="BP227" s="70"/>
      <c r="BQ227" s="70"/>
      <c r="BR227" s="70"/>
      <c r="BS227" s="70"/>
      <c r="BT227" s="70"/>
      <c r="BU227" s="70"/>
      <c r="BV227" s="70"/>
      <c r="BW227" s="70"/>
      <c r="BX227" s="136"/>
      <c r="BY227" s="70"/>
      <c r="BZ227" s="67"/>
      <c r="CA227" s="67"/>
      <c r="CB227" s="67"/>
    </row>
    <row r="228" spans="1:80" s="28" customFormat="1" ht="16" customHeight="1">
      <c r="A228" s="39"/>
      <c r="B228" s="57"/>
      <c r="C228" s="67"/>
      <c r="D228" s="67"/>
      <c r="E228" s="39"/>
      <c r="F228" s="39"/>
      <c r="G228" s="39"/>
      <c r="H228" s="67"/>
      <c r="I228" s="60"/>
      <c r="J228" s="60"/>
      <c r="K228" s="60"/>
      <c r="L228" s="60"/>
      <c r="M228" s="60"/>
      <c r="N228" s="60"/>
      <c r="O228" s="60"/>
      <c r="P228" s="60"/>
      <c r="Q228" s="60"/>
      <c r="R228" s="60"/>
      <c r="S228" s="70"/>
      <c r="T228" s="70"/>
      <c r="U228" s="70"/>
      <c r="V228" s="70"/>
      <c r="W228" s="70"/>
      <c r="X228" s="70"/>
      <c r="Y228" s="70"/>
      <c r="Z228" s="70"/>
      <c r="AA228" s="70"/>
      <c r="AB228" s="70"/>
      <c r="AC228" s="70"/>
      <c r="AD228" s="136"/>
      <c r="AE228" s="24"/>
      <c r="AF228" s="24"/>
      <c r="AG228" s="73"/>
      <c r="AH228" s="125"/>
      <c r="AI228" s="103"/>
      <c r="AK228" s="113"/>
      <c r="AL228" s="113"/>
      <c r="AM228" s="113"/>
      <c r="AN228" s="113"/>
      <c r="AO228" s="137"/>
      <c r="AP228" s="137"/>
      <c r="AQ228" s="137"/>
      <c r="AR228" s="137"/>
      <c r="AS228" s="137"/>
      <c r="AT228" s="137"/>
      <c r="AU228" s="67"/>
      <c r="AV228" s="44"/>
      <c r="AW228" s="67"/>
      <c r="AX228" s="75"/>
      <c r="AY228" s="123"/>
      <c r="AZ228" s="67"/>
      <c r="BA228" s="138"/>
      <c r="BB228" s="67"/>
      <c r="BC228" s="67"/>
      <c r="BD228" s="67"/>
      <c r="BE228" s="67"/>
      <c r="BF228" s="67"/>
      <c r="BG228" s="67"/>
      <c r="BH228" s="67"/>
      <c r="BI228" s="67"/>
      <c r="BJ228" s="67"/>
      <c r="BK228" s="67"/>
      <c r="BL228" s="67"/>
      <c r="BM228" s="70"/>
      <c r="BN228" s="70"/>
      <c r="BO228" s="70"/>
      <c r="BP228" s="70"/>
      <c r="BQ228" s="70"/>
      <c r="BR228" s="70"/>
      <c r="BS228" s="70"/>
      <c r="BT228" s="70"/>
      <c r="BU228" s="70"/>
      <c r="BV228" s="70"/>
      <c r="BW228" s="70"/>
      <c r="BX228" s="136"/>
      <c r="BY228" s="70"/>
      <c r="BZ228" s="67"/>
      <c r="CA228" s="67"/>
      <c r="CB228" s="67"/>
    </row>
    <row r="229" spans="1:80" s="28" customFormat="1" ht="16" customHeight="1">
      <c r="A229" s="39"/>
      <c r="B229" s="57"/>
      <c r="C229" s="67"/>
      <c r="D229" s="67"/>
      <c r="E229" s="39"/>
      <c r="F229" s="39"/>
      <c r="G229" s="39"/>
      <c r="H229" s="67"/>
      <c r="I229" s="60"/>
      <c r="J229" s="60"/>
      <c r="K229" s="60"/>
      <c r="L229" s="60"/>
      <c r="M229" s="60"/>
      <c r="N229" s="60"/>
      <c r="O229" s="60"/>
      <c r="P229" s="60"/>
      <c r="Q229" s="60"/>
      <c r="R229" s="60"/>
      <c r="S229" s="70"/>
      <c r="T229" s="70"/>
      <c r="U229" s="70"/>
      <c r="V229" s="70"/>
      <c r="W229" s="70"/>
      <c r="X229" s="70"/>
      <c r="Y229" s="70"/>
      <c r="Z229" s="70"/>
      <c r="AA229" s="70"/>
      <c r="AB229" s="70"/>
      <c r="AC229" s="70"/>
      <c r="AD229" s="136"/>
      <c r="AE229" s="24"/>
      <c r="AF229" s="24"/>
      <c r="AG229" s="73"/>
      <c r="AH229" s="125"/>
      <c r="AI229" s="103"/>
      <c r="AK229" s="113"/>
      <c r="AL229" s="113"/>
      <c r="AM229" s="113"/>
      <c r="AN229" s="113"/>
      <c r="AO229" s="137"/>
      <c r="AP229" s="137"/>
      <c r="AQ229" s="137"/>
      <c r="AR229" s="137"/>
      <c r="AS229" s="137"/>
      <c r="AT229" s="137"/>
      <c r="AU229" s="67"/>
      <c r="AV229" s="44"/>
      <c r="AW229" s="67"/>
      <c r="AX229" s="75"/>
      <c r="AY229" s="123"/>
      <c r="AZ229" s="67"/>
      <c r="BA229" s="138"/>
      <c r="BB229" s="67"/>
      <c r="BC229" s="67"/>
      <c r="BD229" s="67"/>
      <c r="BE229" s="67"/>
      <c r="BF229" s="67"/>
      <c r="BG229" s="67"/>
      <c r="BH229" s="67"/>
      <c r="BI229" s="67"/>
      <c r="BJ229" s="67"/>
      <c r="BK229" s="67"/>
      <c r="BL229" s="67"/>
      <c r="BM229" s="70"/>
      <c r="BN229" s="70"/>
      <c r="BO229" s="70"/>
      <c r="BP229" s="70"/>
      <c r="BQ229" s="70"/>
      <c r="BR229" s="70"/>
      <c r="BS229" s="70"/>
      <c r="BT229" s="70"/>
      <c r="BU229" s="70"/>
      <c r="BV229" s="70"/>
      <c r="BW229" s="70"/>
      <c r="BX229" s="136"/>
      <c r="BY229" s="70"/>
      <c r="BZ229" s="67"/>
      <c r="CA229" s="67"/>
      <c r="CB229" s="67"/>
    </row>
    <row r="230" spans="1:80" s="28" customFormat="1" ht="16" customHeight="1">
      <c r="A230" s="39"/>
      <c r="B230" s="57"/>
      <c r="C230" s="67"/>
      <c r="D230" s="67"/>
      <c r="E230" s="39"/>
      <c r="F230" s="39"/>
      <c r="G230" s="39"/>
      <c r="H230" s="67"/>
      <c r="I230" s="60"/>
      <c r="J230" s="60"/>
      <c r="K230" s="60"/>
      <c r="L230" s="60"/>
      <c r="M230" s="60"/>
      <c r="N230" s="60"/>
      <c r="O230" s="60"/>
      <c r="P230" s="60"/>
      <c r="Q230" s="60"/>
      <c r="R230" s="60"/>
      <c r="S230" s="70"/>
      <c r="T230" s="70"/>
      <c r="U230" s="70"/>
      <c r="V230" s="70"/>
      <c r="W230" s="70"/>
      <c r="X230" s="70"/>
      <c r="Y230" s="70"/>
      <c r="Z230" s="70"/>
      <c r="AA230" s="70"/>
      <c r="AB230" s="70"/>
      <c r="AC230" s="70"/>
      <c r="AD230" s="136"/>
      <c r="AE230" s="24"/>
      <c r="AF230" s="24"/>
      <c r="AG230" s="73"/>
      <c r="AH230" s="125"/>
      <c r="AI230" s="103"/>
      <c r="AK230" s="113"/>
      <c r="AL230" s="113"/>
      <c r="AM230" s="113"/>
      <c r="AN230" s="113"/>
      <c r="AO230" s="137"/>
      <c r="AP230" s="137"/>
      <c r="AQ230" s="137"/>
      <c r="AR230" s="137"/>
      <c r="AS230" s="137"/>
      <c r="AT230" s="137"/>
      <c r="AU230" s="67"/>
      <c r="AV230" s="44"/>
      <c r="AW230" s="67"/>
      <c r="AX230" s="75"/>
      <c r="AY230" s="123"/>
      <c r="AZ230" s="67"/>
      <c r="BA230" s="138"/>
      <c r="BB230" s="67"/>
      <c r="BC230" s="67"/>
      <c r="BD230" s="67"/>
      <c r="BE230" s="67"/>
      <c r="BF230" s="67"/>
      <c r="BG230" s="67"/>
      <c r="BH230" s="67"/>
      <c r="BI230" s="67"/>
      <c r="BJ230" s="67"/>
      <c r="BK230" s="67"/>
      <c r="BL230" s="67"/>
      <c r="BM230" s="70"/>
      <c r="BN230" s="70"/>
      <c r="BO230" s="70"/>
      <c r="BP230" s="70"/>
      <c r="BQ230" s="70"/>
      <c r="BR230" s="70"/>
      <c r="BS230" s="70"/>
      <c r="BT230" s="70"/>
      <c r="BU230" s="70"/>
      <c r="BV230" s="70"/>
      <c r="BW230" s="70"/>
      <c r="BX230" s="136"/>
      <c r="BY230" s="70"/>
      <c r="BZ230" s="67"/>
      <c r="CA230" s="67"/>
      <c r="CB230" s="67"/>
    </row>
    <row r="231" spans="1:80" s="28" customFormat="1" ht="16" customHeight="1">
      <c r="A231" s="39"/>
      <c r="B231" s="57"/>
      <c r="C231" s="67"/>
      <c r="D231" s="67"/>
      <c r="E231" s="39"/>
      <c r="F231" s="39"/>
      <c r="G231" s="39"/>
      <c r="H231" s="67"/>
      <c r="I231" s="60"/>
      <c r="J231" s="60"/>
      <c r="K231" s="60"/>
      <c r="L231" s="60"/>
      <c r="M231" s="60"/>
      <c r="N231" s="60"/>
      <c r="O231" s="60"/>
      <c r="P231" s="60"/>
      <c r="Q231" s="60"/>
      <c r="R231" s="60"/>
      <c r="S231" s="70"/>
      <c r="T231" s="70"/>
      <c r="U231" s="70"/>
      <c r="V231" s="70"/>
      <c r="W231" s="70"/>
      <c r="X231" s="70"/>
      <c r="Y231" s="70"/>
      <c r="Z231" s="70"/>
      <c r="AA231" s="70"/>
      <c r="AB231" s="70"/>
      <c r="AC231" s="70"/>
      <c r="AD231" s="136"/>
      <c r="AE231" s="24"/>
      <c r="AF231" s="24"/>
      <c r="AG231" s="73"/>
      <c r="AH231" s="125"/>
      <c r="AI231" s="103"/>
      <c r="AK231" s="113"/>
      <c r="AL231" s="113"/>
      <c r="AM231" s="113"/>
      <c r="AN231" s="113"/>
      <c r="AO231" s="137"/>
      <c r="AP231" s="137"/>
      <c r="AQ231" s="137"/>
      <c r="AR231" s="137"/>
      <c r="AS231" s="137"/>
      <c r="AT231" s="137"/>
      <c r="AU231" s="67"/>
      <c r="AV231" s="44"/>
      <c r="AW231" s="67"/>
      <c r="AX231" s="75"/>
      <c r="AY231" s="123"/>
      <c r="AZ231" s="67"/>
      <c r="BA231" s="138"/>
      <c r="BB231" s="67"/>
      <c r="BC231" s="67"/>
      <c r="BD231" s="67"/>
      <c r="BE231" s="67"/>
      <c r="BF231" s="67"/>
      <c r="BG231" s="67"/>
      <c r="BH231" s="67"/>
      <c r="BI231" s="67"/>
      <c r="BJ231" s="67"/>
      <c r="BK231" s="67"/>
      <c r="BL231" s="67"/>
      <c r="BM231" s="70"/>
      <c r="BN231" s="70"/>
      <c r="BO231" s="70"/>
      <c r="BP231" s="70"/>
      <c r="BQ231" s="70"/>
      <c r="BR231" s="70"/>
      <c r="BS231" s="70"/>
      <c r="BT231" s="70"/>
      <c r="BU231" s="70"/>
      <c r="BV231" s="70"/>
      <c r="BW231" s="70"/>
      <c r="BX231" s="136"/>
      <c r="BY231" s="70"/>
      <c r="BZ231" s="67"/>
      <c r="CA231" s="67"/>
      <c r="CB231" s="67"/>
    </row>
    <row r="232" spans="1:80" s="28" customFormat="1" ht="16" customHeight="1">
      <c r="A232" s="39"/>
      <c r="B232" s="57"/>
      <c r="C232" s="67"/>
      <c r="D232" s="67"/>
      <c r="E232" s="39"/>
      <c r="F232" s="39"/>
      <c r="G232" s="39"/>
      <c r="H232" s="67"/>
      <c r="I232" s="60"/>
      <c r="J232" s="60"/>
      <c r="K232" s="60"/>
      <c r="L232" s="60"/>
      <c r="M232" s="60"/>
      <c r="N232" s="60"/>
      <c r="O232" s="60"/>
      <c r="P232" s="60"/>
      <c r="Q232" s="60"/>
      <c r="R232" s="60"/>
      <c r="S232" s="70"/>
      <c r="T232" s="70"/>
      <c r="U232" s="70"/>
      <c r="V232" s="70"/>
      <c r="W232" s="70"/>
      <c r="X232" s="70"/>
      <c r="Y232" s="70"/>
      <c r="Z232" s="70"/>
      <c r="AA232" s="70"/>
      <c r="AB232" s="70"/>
      <c r="AC232" s="70"/>
      <c r="AD232" s="136"/>
      <c r="AE232" s="24"/>
      <c r="AF232" s="24"/>
      <c r="AG232" s="73"/>
      <c r="AH232" s="125"/>
      <c r="AI232" s="103"/>
      <c r="AK232" s="113"/>
      <c r="AL232" s="113"/>
      <c r="AM232" s="113"/>
      <c r="AN232" s="113"/>
      <c r="AO232" s="137"/>
      <c r="AP232" s="137"/>
      <c r="AQ232" s="137"/>
      <c r="AR232" s="137"/>
      <c r="AS232" s="137"/>
      <c r="AT232" s="137"/>
      <c r="AU232" s="67"/>
      <c r="AV232" s="44"/>
      <c r="AW232" s="67"/>
      <c r="AX232" s="75"/>
      <c r="AY232" s="123"/>
      <c r="AZ232" s="67"/>
      <c r="BA232" s="138"/>
      <c r="BB232" s="67"/>
      <c r="BC232" s="67"/>
      <c r="BD232" s="67"/>
      <c r="BE232" s="67"/>
      <c r="BF232" s="67"/>
      <c r="BG232" s="67"/>
      <c r="BH232" s="67"/>
      <c r="BI232" s="67"/>
      <c r="BJ232" s="67"/>
      <c r="BK232" s="67"/>
      <c r="BL232" s="67"/>
      <c r="BM232" s="70"/>
      <c r="BN232" s="70"/>
      <c r="BO232" s="70"/>
      <c r="BP232" s="70"/>
      <c r="BQ232" s="70"/>
      <c r="BR232" s="70"/>
      <c r="BS232" s="70"/>
      <c r="BT232" s="70"/>
      <c r="BU232" s="70"/>
      <c r="BV232" s="70"/>
      <c r="BW232" s="70"/>
      <c r="BX232" s="136"/>
      <c r="BY232" s="70"/>
      <c r="BZ232" s="67"/>
      <c r="CA232" s="67"/>
      <c r="CB232" s="67"/>
    </row>
    <row r="233" spans="1:80" s="28" customFormat="1" ht="16" customHeight="1">
      <c r="A233" s="39"/>
      <c r="B233" s="57"/>
      <c r="C233" s="67"/>
      <c r="D233" s="67"/>
      <c r="E233" s="39"/>
      <c r="F233" s="39"/>
      <c r="G233" s="39"/>
      <c r="H233" s="67"/>
      <c r="I233" s="60"/>
      <c r="J233" s="60"/>
      <c r="K233" s="60"/>
      <c r="L233" s="60"/>
      <c r="M233" s="60"/>
      <c r="N233" s="60"/>
      <c r="O233" s="60"/>
      <c r="P233" s="60"/>
      <c r="Q233" s="60"/>
      <c r="R233" s="60"/>
      <c r="S233" s="70"/>
      <c r="T233" s="70"/>
      <c r="U233" s="70"/>
      <c r="V233" s="70"/>
      <c r="W233" s="70"/>
      <c r="X233" s="70"/>
      <c r="Y233" s="70"/>
      <c r="Z233" s="70"/>
      <c r="AA233" s="70"/>
      <c r="AB233" s="70"/>
      <c r="AC233" s="70"/>
      <c r="AD233" s="136"/>
      <c r="AE233" s="24"/>
      <c r="AF233" s="24"/>
      <c r="AG233" s="73"/>
      <c r="AH233" s="125"/>
      <c r="AI233" s="103"/>
      <c r="AK233" s="113"/>
      <c r="AL233" s="113"/>
      <c r="AM233" s="113"/>
      <c r="AN233" s="113"/>
      <c r="AO233" s="137"/>
      <c r="AP233" s="137"/>
      <c r="AQ233" s="137"/>
      <c r="AR233" s="137"/>
      <c r="AS233" s="137"/>
      <c r="AT233" s="137"/>
      <c r="AU233" s="67"/>
      <c r="AV233" s="44"/>
      <c r="AW233" s="67"/>
      <c r="AX233" s="75"/>
      <c r="AY233" s="123"/>
      <c r="AZ233" s="67"/>
      <c r="BA233" s="138"/>
      <c r="BB233" s="67"/>
      <c r="BC233" s="67"/>
      <c r="BD233" s="67"/>
      <c r="BE233" s="67"/>
      <c r="BF233" s="67"/>
      <c r="BG233" s="67"/>
      <c r="BH233" s="67"/>
      <c r="BI233" s="67"/>
      <c r="BJ233" s="67"/>
      <c r="BK233" s="67"/>
      <c r="BL233" s="67"/>
      <c r="BM233" s="70"/>
      <c r="BN233" s="70"/>
      <c r="BO233" s="70"/>
      <c r="BP233" s="70"/>
      <c r="BQ233" s="70"/>
      <c r="BR233" s="70"/>
      <c r="BS233" s="70"/>
      <c r="BT233" s="70"/>
      <c r="BU233" s="70"/>
      <c r="BV233" s="70"/>
      <c r="BW233" s="70"/>
      <c r="BX233" s="136"/>
      <c r="BY233" s="70"/>
      <c r="BZ233" s="67"/>
      <c r="CA233" s="67"/>
      <c r="CB233" s="67"/>
    </row>
    <row r="234" spans="1:80" s="28" customFormat="1" ht="16" customHeight="1">
      <c r="A234" s="39"/>
      <c r="B234" s="57"/>
      <c r="C234" s="67"/>
      <c r="D234" s="67"/>
      <c r="E234" s="39"/>
      <c r="F234" s="39"/>
      <c r="G234" s="39"/>
      <c r="H234" s="67"/>
      <c r="I234" s="60"/>
      <c r="J234" s="60"/>
      <c r="K234" s="60"/>
      <c r="L234" s="60"/>
      <c r="M234" s="60"/>
      <c r="N234" s="60"/>
      <c r="O234" s="60"/>
      <c r="P234" s="60"/>
      <c r="Q234" s="60"/>
      <c r="R234" s="60"/>
      <c r="S234" s="70"/>
      <c r="T234" s="70"/>
      <c r="U234" s="70"/>
      <c r="V234" s="70"/>
      <c r="W234" s="70"/>
      <c r="X234" s="70"/>
      <c r="Y234" s="70"/>
      <c r="Z234" s="70"/>
      <c r="AA234" s="70"/>
      <c r="AB234" s="70"/>
      <c r="AC234" s="70"/>
      <c r="AD234" s="136"/>
      <c r="AE234" s="24"/>
      <c r="AF234" s="24"/>
      <c r="AG234" s="73"/>
      <c r="AH234" s="125"/>
      <c r="AI234" s="103"/>
      <c r="AK234" s="113"/>
      <c r="AL234" s="113"/>
      <c r="AM234" s="113"/>
      <c r="AN234" s="113"/>
      <c r="AO234" s="137"/>
      <c r="AP234" s="137"/>
      <c r="AQ234" s="137"/>
      <c r="AR234" s="137"/>
      <c r="AS234" s="137"/>
      <c r="AT234" s="137"/>
      <c r="AU234" s="67"/>
      <c r="AV234" s="44"/>
      <c r="AW234" s="67"/>
      <c r="AX234" s="75"/>
      <c r="AY234" s="123"/>
      <c r="AZ234" s="67"/>
      <c r="BA234" s="138"/>
      <c r="BB234" s="67"/>
      <c r="BC234" s="67"/>
      <c r="BD234" s="67"/>
      <c r="BE234" s="67"/>
      <c r="BF234" s="67"/>
      <c r="BG234" s="67"/>
      <c r="BH234" s="67"/>
      <c r="BI234" s="67"/>
      <c r="BJ234" s="67"/>
      <c r="BK234" s="67"/>
      <c r="BL234" s="67"/>
      <c r="BM234" s="70"/>
      <c r="BN234" s="70"/>
      <c r="BO234" s="70"/>
      <c r="BP234" s="70"/>
      <c r="BQ234" s="70"/>
      <c r="BR234" s="70"/>
      <c r="BS234" s="70"/>
      <c r="BT234" s="70"/>
      <c r="BU234" s="70"/>
      <c r="BV234" s="70"/>
      <c r="BW234" s="70"/>
      <c r="BX234" s="136"/>
      <c r="BY234" s="70"/>
      <c r="BZ234" s="67"/>
      <c r="CA234" s="67"/>
      <c r="CB234" s="67"/>
    </row>
    <row r="235" spans="1:80" s="28" customFormat="1" ht="16" customHeight="1">
      <c r="A235" s="39"/>
      <c r="B235" s="57"/>
      <c r="C235" s="67"/>
      <c r="D235" s="67"/>
      <c r="E235" s="39"/>
      <c r="F235" s="39"/>
      <c r="G235" s="39"/>
      <c r="H235" s="67"/>
      <c r="I235" s="60"/>
      <c r="J235" s="60"/>
      <c r="K235" s="60"/>
      <c r="L235" s="60"/>
      <c r="M235" s="60"/>
      <c r="N235" s="60"/>
      <c r="O235" s="60"/>
      <c r="P235" s="60"/>
      <c r="Q235" s="60"/>
      <c r="R235" s="60"/>
      <c r="S235" s="70"/>
      <c r="T235" s="70"/>
      <c r="U235" s="70"/>
      <c r="V235" s="70"/>
      <c r="W235" s="70"/>
      <c r="X235" s="70"/>
      <c r="Y235" s="70"/>
      <c r="Z235" s="70"/>
      <c r="AA235" s="70"/>
      <c r="AB235" s="70"/>
      <c r="AC235" s="70"/>
      <c r="AD235" s="136"/>
      <c r="AE235" s="24"/>
      <c r="AF235" s="24"/>
      <c r="AG235" s="73"/>
      <c r="AH235" s="125"/>
      <c r="AI235" s="103"/>
      <c r="AK235" s="113"/>
      <c r="AL235" s="113"/>
      <c r="AM235" s="113"/>
      <c r="AN235" s="113"/>
      <c r="AO235" s="137"/>
      <c r="AP235" s="137"/>
      <c r="AQ235" s="137"/>
      <c r="AR235" s="137"/>
      <c r="AS235" s="137"/>
      <c r="AT235" s="137"/>
      <c r="AU235" s="67"/>
      <c r="AV235" s="44"/>
      <c r="AW235" s="67"/>
      <c r="AX235" s="75"/>
      <c r="AY235" s="123"/>
      <c r="AZ235" s="67"/>
      <c r="BA235" s="138"/>
      <c r="BB235" s="67"/>
      <c r="BC235" s="67"/>
      <c r="BD235" s="67"/>
      <c r="BE235" s="67"/>
      <c r="BF235" s="67"/>
      <c r="BG235" s="67"/>
      <c r="BH235" s="67"/>
      <c r="BI235" s="67"/>
      <c r="BJ235" s="67"/>
      <c r="BK235" s="67"/>
      <c r="BL235" s="67"/>
      <c r="BM235" s="70"/>
      <c r="BN235" s="70"/>
      <c r="BO235" s="70"/>
      <c r="BP235" s="70"/>
      <c r="BQ235" s="70"/>
      <c r="BR235" s="70"/>
      <c r="BS235" s="70"/>
      <c r="BT235" s="70"/>
      <c r="BU235" s="70"/>
      <c r="BV235" s="70"/>
      <c r="BW235" s="70"/>
      <c r="BX235" s="136"/>
      <c r="BY235" s="70"/>
      <c r="BZ235" s="67"/>
      <c r="CA235" s="67"/>
      <c r="CB235" s="67"/>
    </row>
    <row r="236" spans="1:80" s="28" customFormat="1" ht="16" customHeight="1">
      <c r="A236" s="39"/>
      <c r="B236" s="57"/>
      <c r="C236" s="67"/>
      <c r="D236" s="67"/>
      <c r="E236" s="39"/>
      <c r="F236" s="39"/>
      <c r="G236" s="39"/>
      <c r="H236" s="67"/>
      <c r="I236" s="60"/>
      <c r="J236" s="60"/>
      <c r="K236" s="60"/>
      <c r="L236" s="60"/>
      <c r="M236" s="60"/>
      <c r="N236" s="60"/>
      <c r="O236" s="60"/>
      <c r="P236" s="60"/>
      <c r="Q236" s="60"/>
      <c r="R236" s="60"/>
      <c r="S236" s="70"/>
      <c r="T236" s="70"/>
      <c r="U236" s="70"/>
      <c r="V236" s="70"/>
      <c r="W236" s="70"/>
      <c r="X236" s="70"/>
      <c r="Y236" s="70"/>
      <c r="Z236" s="70"/>
      <c r="AA236" s="70"/>
      <c r="AB236" s="70"/>
      <c r="AC236" s="70"/>
      <c r="AD236" s="136"/>
      <c r="AE236" s="24"/>
      <c r="AF236" s="24"/>
      <c r="AG236" s="73"/>
      <c r="AH236" s="125"/>
      <c r="AI236" s="103"/>
      <c r="AK236" s="113"/>
      <c r="AL236" s="113"/>
      <c r="AM236" s="113"/>
      <c r="AN236" s="113"/>
      <c r="AO236" s="137"/>
      <c r="AP236" s="137"/>
      <c r="AQ236" s="137"/>
      <c r="AR236" s="137"/>
      <c r="AS236" s="137"/>
      <c r="AT236" s="137"/>
      <c r="AU236" s="67"/>
      <c r="AV236" s="44"/>
      <c r="AW236" s="67"/>
      <c r="AX236" s="75"/>
      <c r="AY236" s="123"/>
      <c r="AZ236" s="67"/>
      <c r="BA236" s="138"/>
      <c r="BB236" s="67"/>
      <c r="BC236" s="67"/>
      <c r="BD236" s="67"/>
      <c r="BE236" s="67"/>
      <c r="BF236" s="67"/>
      <c r="BG236" s="67"/>
      <c r="BH236" s="67"/>
      <c r="BI236" s="67"/>
      <c r="BJ236" s="67"/>
      <c r="BK236" s="67"/>
      <c r="BL236" s="67"/>
      <c r="BM236" s="70"/>
      <c r="BN236" s="70"/>
      <c r="BO236" s="70"/>
      <c r="BP236" s="70"/>
      <c r="BQ236" s="70"/>
      <c r="BR236" s="70"/>
      <c r="BS236" s="70"/>
      <c r="BT236" s="70"/>
      <c r="BU236" s="70"/>
      <c r="BV236" s="70"/>
      <c r="BW236" s="70"/>
      <c r="BX236" s="136"/>
      <c r="BY236" s="70"/>
      <c r="BZ236" s="67"/>
      <c r="CA236" s="67"/>
      <c r="CB236" s="67"/>
    </row>
    <row r="237" spans="1:80" s="28" customFormat="1" ht="16" customHeight="1">
      <c r="A237" s="39"/>
      <c r="B237" s="57"/>
      <c r="C237" s="67"/>
      <c r="D237" s="67"/>
      <c r="E237" s="39"/>
      <c r="F237" s="39"/>
      <c r="G237" s="39"/>
      <c r="H237" s="67"/>
      <c r="I237" s="60"/>
      <c r="J237" s="60"/>
      <c r="K237" s="60"/>
      <c r="L237" s="60"/>
      <c r="M237" s="60"/>
      <c r="N237" s="60"/>
      <c r="O237" s="60"/>
      <c r="P237" s="60"/>
      <c r="Q237" s="60"/>
      <c r="R237" s="60"/>
      <c r="S237" s="70"/>
      <c r="T237" s="70"/>
      <c r="U237" s="70"/>
      <c r="V237" s="70"/>
      <c r="W237" s="70"/>
      <c r="X237" s="70"/>
      <c r="Y237" s="70"/>
      <c r="Z237" s="70"/>
      <c r="AA237" s="70"/>
      <c r="AB237" s="70"/>
      <c r="AC237" s="70"/>
      <c r="AD237" s="136"/>
      <c r="AE237" s="24"/>
      <c r="AF237" s="24"/>
      <c r="AG237" s="73"/>
      <c r="AH237" s="125"/>
      <c r="AI237" s="103"/>
      <c r="AK237" s="113"/>
      <c r="AL237" s="113"/>
      <c r="AM237" s="113"/>
      <c r="AN237" s="113"/>
      <c r="AO237" s="137"/>
      <c r="AP237" s="137"/>
      <c r="AQ237" s="137"/>
      <c r="AR237" s="137"/>
      <c r="AS237" s="137"/>
      <c r="AT237" s="137"/>
      <c r="AU237" s="67"/>
      <c r="AV237" s="44"/>
      <c r="AW237" s="67"/>
      <c r="AX237" s="75"/>
      <c r="AY237" s="123"/>
      <c r="AZ237" s="67"/>
      <c r="BA237" s="138"/>
      <c r="BB237" s="67"/>
      <c r="BC237" s="67"/>
      <c r="BD237" s="67"/>
      <c r="BE237" s="67"/>
      <c r="BF237" s="67"/>
      <c r="BG237" s="67"/>
      <c r="BH237" s="67"/>
      <c r="BI237" s="67"/>
      <c r="BJ237" s="67"/>
      <c r="BK237" s="67"/>
      <c r="BL237" s="67"/>
      <c r="BM237" s="70"/>
      <c r="BN237" s="70"/>
      <c r="BO237" s="70"/>
      <c r="BP237" s="70"/>
      <c r="BQ237" s="70"/>
      <c r="BR237" s="70"/>
      <c r="BS237" s="70"/>
      <c r="BT237" s="70"/>
      <c r="BU237" s="70"/>
      <c r="BV237" s="70"/>
      <c r="BW237" s="70"/>
      <c r="BX237" s="136"/>
      <c r="BY237" s="70"/>
      <c r="BZ237" s="67"/>
      <c r="CA237" s="67"/>
      <c r="CB237" s="67"/>
    </row>
    <row r="238" spans="1:80" s="28" customFormat="1" ht="16" customHeight="1">
      <c r="A238" s="39"/>
      <c r="B238" s="57"/>
      <c r="C238" s="67"/>
      <c r="D238" s="67"/>
      <c r="E238" s="39"/>
      <c r="F238" s="39"/>
      <c r="G238" s="39"/>
      <c r="H238" s="67"/>
      <c r="I238" s="60"/>
      <c r="J238" s="60"/>
      <c r="K238" s="60"/>
      <c r="L238" s="60"/>
      <c r="M238" s="60"/>
      <c r="N238" s="60"/>
      <c r="O238" s="60"/>
      <c r="P238" s="60"/>
      <c r="Q238" s="60"/>
      <c r="R238" s="60"/>
      <c r="S238" s="70"/>
      <c r="T238" s="70"/>
      <c r="U238" s="70"/>
      <c r="V238" s="70"/>
      <c r="W238" s="70"/>
      <c r="X238" s="70"/>
      <c r="Y238" s="70"/>
      <c r="Z238" s="70"/>
      <c r="AA238" s="70"/>
      <c r="AB238" s="70"/>
      <c r="AC238" s="70"/>
      <c r="AD238" s="136"/>
      <c r="AE238" s="24"/>
      <c r="AF238" s="24"/>
      <c r="AG238" s="73"/>
      <c r="AH238" s="125"/>
      <c r="AI238" s="103"/>
      <c r="AK238" s="113"/>
      <c r="AL238" s="113"/>
      <c r="AM238" s="113"/>
      <c r="AN238" s="113"/>
      <c r="AO238" s="137"/>
      <c r="AP238" s="137"/>
      <c r="AQ238" s="137"/>
      <c r="AR238" s="137"/>
      <c r="AS238" s="137"/>
      <c r="AT238" s="137"/>
      <c r="AU238" s="67"/>
      <c r="AV238" s="44"/>
      <c r="AW238" s="67"/>
      <c r="AX238" s="75"/>
      <c r="AY238" s="123"/>
      <c r="AZ238" s="67"/>
      <c r="BA238" s="138"/>
      <c r="BB238" s="67"/>
      <c r="BC238" s="67"/>
      <c r="BD238" s="67"/>
      <c r="BE238" s="67"/>
      <c r="BF238" s="67"/>
      <c r="BG238" s="67"/>
      <c r="BH238" s="67"/>
      <c r="BI238" s="67"/>
      <c r="BJ238" s="67"/>
      <c r="BK238" s="67"/>
      <c r="BL238" s="67"/>
      <c r="BM238" s="70"/>
      <c r="BN238" s="70"/>
      <c r="BO238" s="70"/>
      <c r="BP238" s="70"/>
      <c r="BQ238" s="70"/>
      <c r="BR238" s="70"/>
      <c r="BS238" s="70"/>
      <c r="BT238" s="70"/>
      <c r="BU238" s="70"/>
      <c r="BV238" s="70"/>
      <c r="BW238" s="70"/>
      <c r="BX238" s="136"/>
      <c r="BY238" s="70"/>
      <c r="BZ238" s="67"/>
      <c r="CA238" s="67"/>
      <c r="CB238" s="67"/>
    </row>
    <row r="239" spans="1:80" s="28" customFormat="1" ht="16" customHeight="1">
      <c r="A239" s="39"/>
      <c r="B239" s="57"/>
      <c r="C239" s="67"/>
      <c r="D239" s="67"/>
      <c r="E239" s="39"/>
      <c r="F239" s="39"/>
      <c r="G239" s="39"/>
      <c r="H239" s="67"/>
      <c r="I239" s="60"/>
      <c r="J239" s="60"/>
      <c r="K239" s="60"/>
      <c r="L239" s="60"/>
      <c r="M239" s="60"/>
      <c r="N239" s="60"/>
      <c r="O239" s="60"/>
      <c r="P239" s="60"/>
      <c r="Q239" s="60"/>
      <c r="R239" s="60"/>
      <c r="S239" s="70"/>
      <c r="T239" s="70"/>
      <c r="U239" s="70"/>
      <c r="V239" s="70"/>
      <c r="W239" s="70"/>
      <c r="X239" s="70"/>
      <c r="Y239" s="70"/>
      <c r="Z239" s="70"/>
      <c r="AA239" s="70"/>
      <c r="AB239" s="70"/>
      <c r="AC239" s="70"/>
      <c r="AD239" s="136"/>
      <c r="AE239" s="24"/>
      <c r="AF239" s="24"/>
      <c r="AG239" s="73"/>
      <c r="AH239" s="125"/>
      <c r="AI239" s="103"/>
      <c r="AK239" s="113"/>
      <c r="AL239" s="113"/>
      <c r="AM239" s="113"/>
      <c r="AN239" s="113"/>
      <c r="AO239" s="137"/>
      <c r="AP239" s="137"/>
      <c r="AQ239" s="137"/>
      <c r="AR239" s="137"/>
      <c r="AS239" s="137"/>
      <c r="AT239" s="137"/>
      <c r="AU239" s="67"/>
      <c r="AV239" s="44"/>
      <c r="AW239" s="67"/>
      <c r="AX239" s="75"/>
      <c r="AY239" s="123"/>
      <c r="AZ239" s="67"/>
      <c r="BA239" s="138"/>
      <c r="BB239" s="67"/>
      <c r="BC239" s="67"/>
      <c r="BD239" s="67"/>
      <c r="BE239" s="67"/>
      <c r="BF239" s="67"/>
      <c r="BG239" s="67"/>
      <c r="BH239" s="67"/>
      <c r="BI239" s="67"/>
      <c r="BJ239" s="67"/>
      <c r="BK239" s="67"/>
      <c r="BL239" s="67"/>
      <c r="BM239" s="70"/>
      <c r="BN239" s="70"/>
      <c r="BO239" s="70"/>
      <c r="BP239" s="70"/>
      <c r="BQ239" s="70"/>
      <c r="BR239" s="70"/>
      <c r="BS239" s="70"/>
      <c r="BT239" s="70"/>
      <c r="BU239" s="70"/>
      <c r="BV239" s="70"/>
      <c r="BW239" s="70"/>
      <c r="BX239" s="136"/>
      <c r="BY239" s="70"/>
      <c r="BZ239" s="67"/>
      <c r="CA239" s="67"/>
      <c r="CB239" s="67"/>
    </row>
    <row r="240" spans="1:80" s="28" customFormat="1" ht="16" customHeight="1">
      <c r="A240" s="39"/>
      <c r="B240" s="57"/>
      <c r="C240" s="67"/>
      <c r="D240" s="67"/>
      <c r="E240" s="39"/>
      <c r="F240" s="39"/>
      <c r="G240" s="39"/>
      <c r="H240" s="67"/>
      <c r="I240" s="60"/>
      <c r="J240" s="60"/>
      <c r="K240" s="60"/>
      <c r="L240" s="60"/>
      <c r="M240" s="60"/>
      <c r="N240" s="60"/>
      <c r="O240" s="60"/>
      <c r="P240" s="60"/>
      <c r="Q240" s="60"/>
      <c r="R240" s="60"/>
      <c r="S240" s="70"/>
      <c r="T240" s="70"/>
      <c r="U240" s="70"/>
      <c r="V240" s="70"/>
      <c r="W240" s="70"/>
      <c r="X240" s="70"/>
      <c r="Y240" s="70"/>
      <c r="Z240" s="70"/>
      <c r="AA240" s="70"/>
      <c r="AB240" s="70"/>
      <c r="AC240" s="70"/>
      <c r="AD240" s="136"/>
      <c r="AE240" s="24"/>
      <c r="AF240" s="24"/>
      <c r="AG240" s="73"/>
      <c r="AH240" s="125"/>
      <c r="AI240" s="103"/>
      <c r="AK240" s="113"/>
      <c r="AL240" s="113"/>
      <c r="AM240" s="113"/>
      <c r="AN240" s="113"/>
      <c r="AO240" s="137"/>
      <c r="AP240" s="137"/>
      <c r="AQ240" s="137"/>
      <c r="AR240" s="137"/>
      <c r="AS240" s="137"/>
      <c r="AT240" s="137"/>
      <c r="AU240" s="67"/>
      <c r="AV240" s="44"/>
      <c r="AW240" s="67"/>
      <c r="AX240" s="75"/>
      <c r="AY240" s="123"/>
      <c r="AZ240" s="67"/>
      <c r="BA240" s="138"/>
      <c r="BB240" s="67"/>
      <c r="BC240" s="67"/>
      <c r="BD240" s="67"/>
      <c r="BE240" s="67"/>
      <c r="BF240" s="67"/>
      <c r="BG240" s="67"/>
      <c r="BH240" s="67"/>
      <c r="BI240" s="67"/>
      <c r="BJ240" s="67"/>
      <c r="BK240" s="67"/>
      <c r="BL240" s="67"/>
      <c r="BM240" s="70"/>
      <c r="BN240" s="70"/>
      <c r="BO240" s="70"/>
      <c r="BP240" s="70"/>
      <c r="BQ240" s="70"/>
      <c r="BR240" s="70"/>
      <c r="BS240" s="70"/>
      <c r="BT240" s="70"/>
      <c r="BU240" s="70"/>
      <c r="BV240" s="70"/>
      <c r="BW240" s="70"/>
      <c r="BX240" s="136"/>
      <c r="BY240" s="70"/>
      <c r="BZ240" s="67"/>
      <c r="CA240" s="67"/>
      <c r="CB240" s="67"/>
    </row>
    <row r="241" spans="1:80" s="28" customFormat="1" ht="16" customHeight="1">
      <c r="A241" s="39"/>
      <c r="B241" s="57"/>
      <c r="C241" s="67"/>
      <c r="D241" s="67"/>
      <c r="E241" s="39"/>
      <c r="F241" s="39"/>
      <c r="G241" s="39"/>
      <c r="H241" s="67"/>
      <c r="I241" s="60"/>
      <c r="J241" s="60"/>
      <c r="K241" s="60"/>
      <c r="L241" s="60"/>
      <c r="M241" s="60"/>
      <c r="N241" s="60"/>
      <c r="O241" s="60"/>
      <c r="P241" s="60"/>
      <c r="Q241" s="60"/>
      <c r="R241" s="60"/>
      <c r="S241" s="70"/>
      <c r="T241" s="70"/>
      <c r="U241" s="70"/>
      <c r="V241" s="70"/>
      <c r="W241" s="70"/>
      <c r="X241" s="70"/>
      <c r="Y241" s="70"/>
      <c r="Z241" s="70"/>
      <c r="AA241" s="70"/>
      <c r="AB241" s="70"/>
      <c r="AC241" s="70"/>
      <c r="AD241" s="136"/>
      <c r="AE241" s="24"/>
      <c r="AF241" s="24"/>
      <c r="AG241" s="73"/>
      <c r="AH241" s="125"/>
      <c r="AI241" s="103"/>
      <c r="AK241" s="113"/>
      <c r="AL241" s="113"/>
      <c r="AM241" s="113"/>
      <c r="AN241" s="113"/>
      <c r="AO241" s="137"/>
      <c r="AP241" s="137"/>
      <c r="AQ241" s="137"/>
      <c r="AR241" s="137"/>
      <c r="AS241" s="137"/>
      <c r="AT241" s="137"/>
      <c r="AU241" s="67"/>
      <c r="AV241" s="44"/>
      <c r="AW241" s="67"/>
      <c r="AX241" s="75"/>
      <c r="AY241" s="123"/>
      <c r="AZ241" s="67"/>
      <c r="BA241" s="138"/>
      <c r="BB241" s="67"/>
      <c r="BC241" s="67"/>
      <c r="BD241" s="67"/>
      <c r="BE241" s="67"/>
      <c r="BF241" s="67"/>
      <c r="BG241" s="67"/>
      <c r="BH241" s="67"/>
      <c r="BI241" s="67"/>
      <c r="BJ241" s="67"/>
      <c r="BK241" s="67"/>
      <c r="BL241" s="67"/>
      <c r="BM241" s="70"/>
      <c r="BN241" s="70"/>
      <c r="BO241" s="70"/>
      <c r="BP241" s="70"/>
      <c r="BQ241" s="70"/>
      <c r="BR241" s="70"/>
      <c r="BS241" s="70"/>
      <c r="BT241" s="70"/>
      <c r="BU241" s="70"/>
      <c r="BV241" s="70"/>
      <c r="BW241" s="70"/>
      <c r="BX241" s="136"/>
      <c r="BY241" s="70"/>
      <c r="BZ241" s="67"/>
      <c r="CA241" s="67"/>
      <c r="CB241" s="67"/>
    </row>
    <row r="242" spans="1:80" s="28" customFormat="1" ht="16" customHeight="1">
      <c r="A242" s="39"/>
      <c r="B242" s="57"/>
      <c r="C242" s="67"/>
      <c r="D242" s="67"/>
      <c r="E242" s="39"/>
      <c r="F242" s="39"/>
      <c r="G242" s="39"/>
      <c r="H242" s="67"/>
      <c r="I242" s="60"/>
      <c r="J242" s="60"/>
      <c r="K242" s="60"/>
      <c r="L242" s="60"/>
      <c r="M242" s="60"/>
      <c r="N242" s="60"/>
      <c r="O242" s="60"/>
      <c r="P242" s="60"/>
      <c r="Q242" s="60"/>
      <c r="R242" s="60"/>
      <c r="S242" s="70"/>
      <c r="T242" s="70"/>
      <c r="U242" s="70"/>
      <c r="V242" s="70"/>
      <c r="W242" s="70"/>
      <c r="X242" s="70"/>
      <c r="Y242" s="70"/>
      <c r="Z242" s="70"/>
      <c r="AA242" s="70"/>
      <c r="AB242" s="70"/>
      <c r="AC242" s="70"/>
      <c r="AD242" s="136"/>
      <c r="AE242" s="24"/>
      <c r="AF242" s="24"/>
      <c r="AG242" s="73"/>
      <c r="AH242" s="125"/>
      <c r="AI242" s="103"/>
      <c r="AK242" s="113"/>
      <c r="AL242" s="113"/>
      <c r="AM242" s="113"/>
      <c r="AN242" s="113"/>
      <c r="AO242" s="137"/>
      <c r="AP242" s="137"/>
      <c r="AQ242" s="137"/>
      <c r="AR242" s="137"/>
      <c r="AS242" s="137"/>
      <c r="AT242" s="137"/>
      <c r="AU242" s="67"/>
      <c r="AV242" s="44"/>
      <c r="AW242" s="67"/>
      <c r="AX242" s="75"/>
      <c r="AY242" s="123"/>
      <c r="AZ242" s="67"/>
      <c r="BA242" s="138"/>
      <c r="BB242" s="67"/>
      <c r="BC242" s="67"/>
      <c r="BD242" s="67"/>
      <c r="BE242" s="67"/>
      <c r="BF242" s="67"/>
      <c r="BG242" s="67"/>
      <c r="BH242" s="67"/>
      <c r="BI242" s="67"/>
      <c r="BJ242" s="67"/>
      <c r="BK242" s="67"/>
      <c r="BL242" s="67"/>
      <c r="BM242" s="70"/>
      <c r="BN242" s="70"/>
      <c r="BO242" s="70"/>
      <c r="BP242" s="70"/>
      <c r="BQ242" s="70"/>
      <c r="BR242" s="70"/>
      <c r="BS242" s="70"/>
      <c r="BT242" s="70"/>
      <c r="BU242" s="70"/>
      <c r="BV242" s="70"/>
      <c r="BW242" s="70"/>
      <c r="BX242" s="136"/>
      <c r="BY242" s="70"/>
      <c r="BZ242" s="67"/>
      <c r="CA242" s="67"/>
      <c r="CB242" s="67"/>
    </row>
    <row r="243" spans="1:80" s="28" customFormat="1" ht="16" customHeight="1">
      <c r="A243" s="39"/>
      <c r="B243" s="57"/>
      <c r="C243" s="67"/>
      <c r="D243" s="67"/>
      <c r="E243" s="39"/>
      <c r="F243" s="39"/>
      <c r="G243" s="39"/>
      <c r="H243" s="67"/>
      <c r="I243" s="60"/>
      <c r="J243" s="60"/>
      <c r="K243" s="60"/>
      <c r="L243" s="60"/>
      <c r="M243" s="60"/>
      <c r="N243" s="60"/>
      <c r="O243" s="60"/>
      <c r="P243" s="60"/>
      <c r="Q243" s="60"/>
      <c r="R243" s="60"/>
      <c r="S243" s="70"/>
      <c r="T243" s="70"/>
      <c r="U243" s="70"/>
      <c r="V243" s="70"/>
      <c r="W243" s="70"/>
      <c r="X243" s="70"/>
      <c r="Y243" s="70"/>
      <c r="Z243" s="70"/>
      <c r="AA243" s="70"/>
      <c r="AB243" s="70"/>
      <c r="AC243" s="70"/>
      <c r="AD243" s="136"/>
      <c r="AE243" s="24"/>
      <c r="AF243" s="24"/>
      <c r="AG243" s="73"/>
      <c r="AH243" s="125"/>
      <c r="AI243" s="103"/>
      <c r="AK243" s="113"/>
      <c r="AL243" s="113"/>
      <c r="AM243" s="113"/>
      <c r="AN243" s="113"/>
      <c r="AO243" s="137"/>
      <c r="AP243" s="137"/>
      <c r="AQ243" s="137"/>
      <c r="AR243" s="137"/>
      <c r="AS243" s="137"/>
      <c r="AT243" s="137"/>
      <c r="AU243" s="67"/>
      <c r="AV243" s="44"/>
      <c r="AW243" s="67"/>
      <c r="AX243" s="75"/>
      <c r="AY243" s="123"/>
      <c r="AZ243" s="67"/>
      <c r="BA243" s="138"/>
      <c r="BB243" s="67"/>
      <c r="BC243" s="67"/>
      <c r="BD243" s="67"/>
      <c r="BE243" s="67"/>
      <c r="BF243" s="67"/>
      <c r="BG243" s="67"/>
      <c r="BH243" s="67"/>
      <c r="BI243" s="67"/>
      <c r="BJ243" s="67"/>
      <c r="BK243" s="67"/>
      <c r="BL243" s="67"/>
      <c r="BM243" s="70"/>
      <c r="BN243" s="70"/>
      <c r="BO243" s="70"/>
      <c r="BP243" s="70"/>
      <c r="BQ243" s="70"/>
      <c r="BR243" s="70"/>
      <c r="BS243" s="70"/>
      <c r="BT243" s="70"/>
      <c r="BU243" s="70"/>
      <c r="BV243" s="70"/>
      <c r="BW243" s="70"/>
      <c r="BX243" s="136"/>
      <c r="BY243" s="70"/>
      <c r="BZ243" s="67"/>
      <c r="CA243" s="67"/>
      <c r="CB243" s="67"/>
    </row>
    <row r="244" spans="1:80" s="28" customFormat="1" ht="16" customHeight="1">
      <c r="A244" s="39"/>
      <c r="B244" s="57"/>
      <c r="C244" s="67"/>
      <c r="D244" s="67"/>
      <c r="E244" s="39"/>
      <c r="F244" s="39"/>
      <c r="G244" s="39"/>
      <c r="H244" s="67"/>
      <c r="I244" s="60"/>
      <c r="J244" s="60"/>
      <c r="K244" s="60"/>
      <c r="L244" s="60"/>
      <c r="M244" s="60"/>
      <c r="N244" s="60"/>
      <c r="O244" s="60"/>
      <c r="P244" s="60"/>
      <c r="Q244" s="60"/>
      <c r="R244" s="60"/>
      <c r="S244" s="70"/>
      <c r="T244" s="70"/>
      <c r="U244" s="70"/>
      <c r="V244" s="70"/>
      <c r="W244" s="70"/>
      <c r="X244" s="70"/>
      <c r="Y244" s="70"/>
      <c r="Z244" s="70"/>
      <c r="AA244" s="70"/>
      <c r="AB244" s="70"/>
      <c r="AC244" s="70"/>
      <c r="AD244" s="136"/>
      <c r="AE244" s="24"/>
      <c r="AF244" s="24"/>
      <c r="AG244" s="73"/>
      <c r="AH244" s="125"/>
      <c r="AI244" s="103"/>
      <c r="AK244" s="113"/>
      <c r="AL244" s="113"/>
      <c r="AM244" s="113"/>
      <c r="AN244" s="113"/>
      <c r="AO244" s="137"/>
      <c r="AP244" s="137"/>
      <c r="AQ244" s="137"/>
      <c r="AR244" s="137"/>
      <c r="AS244" s="137"/>
      <c r="AT244" s="137"/>
      <c r="AU244" s="67"/>
      <c r="AV244" s="44"/>
      <c r="AW244" s="67"/>
      <c r="AX244" s="75"/>
      <c r="AY244" s="123"/>
      <c r="AZ244" s="67"/>
      <c r="BA244" s="138"/>
      <c r="BB244" s="67"/>
      <c r="BC244" s="67"/>
      <c r="BD244" s="67"/>
      <c r="BE244" s="67"/>
      <c r="BF244" s="67"/>
      <c r="BG244" s="67"/>
      <c r="BH244" s="67"/>
      <c r="BI244" s="67"/>
      <c r="BJ244" s="67"/>
      <c r="BK244" s="67"/>
      <c r="BL244" s="67"/>
      <c r="BM244" s="70"/>
      <c r="BN244" s="70"/>
      <c r="BO244" s="70"/>
      <c r="BP244" s="70"/>
      <c r="BQ244" s="70"/>
      <c r="BR244" s="70"/>
      <c r="BS244" s="70"/>
      <c r="BT244" s="70"/>
      <c r="BU244" s="70"/>
      <c r="BV244" s="70"/>
      <c r="BW244" s="70"/>
      <c r="BX244" s="136"/>
      <c r="BY244" s="70"/>
      <c r="BZ244" s="67"/>
      <c r="CA244" s="67"/>
      <c r="CB244" s="67"/>
    </row>
    <row r="245" spans="1:80" s="28" customFormat="1" ht="16" customHeight="1">
      <c r="A245" s="39"/>
      <c r="B245" s="57"/>
      <c r="C245" s="67"/>
      <c r="D245" s="67"/>
      <c r="E245" s="39"/>
      <c r="F245" s="39"/>
      <c r="G245" s="39"/>
      <c r="H245" s="67"/>
      <c r="I245" s="60"/>
      <c r="J245" s="60"/>
      <c r="K245" s="60"/>
      <c r="L245" s="60"/>
      <c r="M245" s="60"/>
      <c r="N245" s="60"/>
      <c r="O245" s="60"/>
      <c r="P245" s="60"/>
      <c r="Q245" s="60"/>
      <c r="R245" s="60"/>
      <c r="S245" s="70"/>
      <c r="T245" s="70"/>
      <c r="U245" s="70"/>
      <c r="V245" s="70"/>
      <c r="W245" s="70"/>
      <c r="X245" s="70"/>
      <c r="Y245" s="70"/>
      <c r="Z245" s="70"/>
      <c r="AA245" s="70"/>
      <c r="AB245" s="70"/>
      <c r="AC245" s="70"/>
      <c r="AD245" s="136"/>
      <c r="AE245" s="24"/>
      <c r="AF245" s="24"/>
      <c r="AG245" s="73"/>
      <c r="AH245" s="125"/>
      <c r="AI245" s="103"/>
      <c r="AK245" s="113"/>
      <c r="AL245" s="113"/>
      <c r="AM245" s="113"/>
      <c r="AN245" s="113"/>
      <c r="AO245" s="137"/>
      <c r="AP245" s="137"/>
      <c r="AQ245" s="137"/>
      <c r="AR245" s="137"/>
      <c r="AS245" s="137"/>
      <c r="AT245" s="137"/>
      <c r="AU245" s="67"/>
      <c r="AV245" s="44"/>
      <c r="AW245" s="67"/>
      <c r="AX245" s="75"/>
      <c r="AY245" s="123"/>
      <c r="AZ245" s="67"/>
      <c r="BA245" s="138"/>
      <c r="BB245" s="67"/>
      <c r="BC245" s="67"/>
      <c r="BD245" s="67"/>
      <c r="BE245" s="67"/>
      <c r="BF245" s="67"/>
      <c r="BG245" s="67"/>
      <c r="BH245" s="67"/>
      <c r="BI245" s="67"/>
      <c r="BJ245" s="67"/>
      <c r="BK245" s="67"/>
      <c r="BL245" s="67"/>
      <c r="BM245" s="70"/>
      <c r="BN245" s="70"/>
      <c r="BO245" s="70"/>
      <c r="BP245" s="70"/>
      <c r="BQ245" s="70"/>
      <c r="BR245" s="70"/>
      <c r="BS245" s="70"/>
      <c r="BT245" s="70"/>
      <c r="BU245" s="70"/>
      <c r="BV245" s="70"/>
      <c r="BW245" s="70"/>
      <c r="BX245" s="136"/>
      <c r="BY245" s="70"/>
      <c r="BZ245" s="67"/>
      <c r="CA245" s="67"/>
      <c r="CB245" s="67"/>
    </row>
    <row r="246" spans="1:80" s="28" customFormat="1" ht="16" customHeight="1">
      <c r="A246" s="39"/>
      <c r="B246" s="57"/>
      <c r="C246" s="67"/>
      <c r="D246" s="67"/>
      <c r="E246" s="39"/>
      <c r="F246" s="39"/>
      <c r="G246" s="39"/>
      <c r="H246" s="67"/>
      <c r="I246" s="60"/>
      <c r="J246" s="60"/>
      <c r="K246" s="60"/>
      <c r="L246" s="60"/>
      <c r="M246" s="60"/>
      <c r="N246" s="60"/>
      <c r="O246" s="60"/>
      <c r="P246" s="60"/>
      <c r="Q246" s="60"/>
      <c r="R246" s="60"/>
      <c r="S246" s="70"/>
      <c r="T246" s="70"/>
      <c r="U246" s="70"/>
      <c r="V246" s="70"/>
      <c r="W246" s="70"/>
      <c r="X246" s="70"/>
      <c r="Y246" s="70"/>
      <c r="Z246" s="70"/>
      <c r="AA246" s="70"/>
      <c r="AB246" s="70"/>
      <c r="AC246" s="70"/>
      <c r="AD246" s="136"/>
      <c r="AE246" s="24"/>
      <c r="AF246" s="24"/>
      <c r="AG246" s="73"/>
      <c r="AH246" s="125"/>
      <c r="AI246" s="103"/>
      <c r="AK246" s="113"/>
      <c r="AL246" s="113"/>
      <c r="AM246" s="113"/>
      <c r="AN246" s="113"/>
      <c r="AO246" s="137"/>
      <c r="AP246" s="137"/>
      <c r="AQ246" s="137"/>
      <c r="AR246" s="137"/>
      <c r="AS246" s="137"/>
      <c r="AT246" s="137"/>
      <c r="AU246" s="67"/>
      <c r="AV246" s="44"/>
      <c r="AW246" s="67"/>
      <c r="AX246" s="75"/>
      <c r="AY246" s="123"/>
      <c r="AZ246" s="67"/>
      <c r="BA246" s="138"/>
      <c r="BB246" s="67"/>
      <c r="BC246" s="67"/>
      <c r="BD246" s="67"/>
      <c r="BE246" s="67"/>
      <c r="BF246" s="67"/>
      <c r="BG246" s="67"/>
      <c r="BH246" s="67"/>
      <c r="BI246" s="67"/>
      <c r="BJ246" s="67"/>
      <c r="BK246" s="67"/>
      <c r="BL246" s="67"/>
      <c r="BM246" s="70"/>
      <c r="BN246" s="70"/>
      <c r="BO246" s="70"/>
      <c r="BP246" s="70"/>
      <c r="BQ246" s="70"/>
      <c r="BR246" s="70"/>
      <c r="BS246" s="70"/>
      <c r="BT246" s="70"/>
      <c r="BU246" s="70"/>
      <c r="BV246" s="70"/>
      <c r="BW246" s="70"/>
      <c r="BX246" s="136"/>
      <c r="BY246" s="70"/>
      <c r="BZ246" s="67"/>
      <c r="CA246" s="67"/>
      <c r="CB246" s="67"/>
    </row>
    <row r="247" spans="1:80" s="28" customFormat="1" ht="16" customHeight="1">
      <c r="A247" s="39"/>
      <c r="B247" s="57"/>
      <c r="C247" s="67"/>
      <c r="D247" s="67"/>
      <c r="E247" s="39"/>
      <c r="F247" s="39"/>
      <c r="G247" s="39"/>
      <c r="H247" s="67"/>
      <c r="I247" s="60"/>
      <c r="J247" s="60"/>
      <c r="K247" s="60"/>
      <c r="L247" s="60"/>
      <c r="M247" s="60"/>
      <c r="N247" s="60"/>
      <c r="O247" s="60"/>
      <c r="P247" s="60"/>
      <c r="Q247" s="60"/>
      <c r="R247" s="60"/>
      <c r="S247" s="70"/>
      <c r="T247" s="70"/>
      <c r="U247" s="70"/>
      <c r="V247" s="70"/>
      <c r="W247" s="70"/>
      <c r="X247" s="70"/>
      <c r="Y247" s="70"/>
      <c r="Z247" s="70"/>
      <c r="AA247" s="70"/>
      <c r="AB247" s="70"/>
      <c r="AC247" s="70"/>
      <c r="AD247" s="136"/>
      <c r="AE247" s="24"/>
      <c r="AF247" s="24"/>
      <c r="AG247" s="73"/>
      <c r="AH247" s="125"/>
      <c r="AI247" s="103"/>
      <c r="AK247" s="113"/>
      <c r="AL247" s="113"/>
      <c r="AM247" s="113"/>
      <c r="AN247" s="113"/>
      <c r="AO247" s="137"/>
      <c r="AP247" s="137"/>
      <c r="AQ247" s="137"/>
      <c r="AR247" s="137"/>
      <c r="AS247" s="137"/>
      <c r="AT247" s="137"/>
      <c r="AU247" s="67"/>
      <c r="AV247" s="44"/>
      <c r="AW247" s="67"/>
      <c r="AX247" s="75"/>
      <c r="AY247" s="123"/>
      <c r="AZ247" s="67"/>
      <c r="BA247" s="138"/>
      <c r="BB247" s="67"/>
      <c r="BC247" s="67"/>
      <c r="BD247" s="67"/>
      <c r="BE247" s="67"/>
      <c r="BF247" s="67"/>
      <c r="BG247" s="67"/>
      <c r="BH247" s="67"/>
      <c r="BI247" s="67"/>
      <c r="BJ247" s="67"/>
      <c r="BK247" s="67"/>
      <c r="BL247" s="67"/>
      <c r="BM247" s="70"/>
      <c r="BN247" s="70"/>
      <c r="BO247" s="70"/>
      <c r="BP247" s="70"/>
      <c r="BQ247" s="70"/>
      <c r="BR247" s="70"/>
      <c r="BS247" s="70"/>
      <c r="BT247" s="70"/>
      <c r="BU247" s="70"/>
      <c r="BV247" s="70"/>
      <c r="BW247" s="70"/>
      <c r="BX247" s="136"/>
      <c r="BY247" s="70"/>
      <c r="BZ247" s="67"/>
      <c r="CA247" s="67"/>
      <c r="CB247" s="67"/>
    </row>
    <row r="248" spans="1:80" s="28" customFormat="1" ht="16" customHeight="1">
      <c r="A248" s="39"/>
      <c r="B248" s="57"/>
      <c r="C248" s="67"/>
      <c r="D248" s="67"/>
      <c r="E248" s="39"/>
      <c r="F248" s="39"/>
      <c r="G248" s="39"/>
      <c r="H248" s="67"/>
      <c r="I248" s="60"/>
      <c r="J248" s="60"/>
      <c r="K248" s="60"/>
      <c r="L248" s="60"/>
      <c r="M248" s="60"/>
      <c r="N248" s="60"/>
      <c r="O248" s="60"/>
      <c r="P248" s="60"/>
      <c r="Q248" s="60"/>
      <c r="R248" s="60"/>
      <c r="S248" s="70"/>
      <c r="T248" s="70"/>
      <c r="U248" s="70"/>
      <c r="V248" s="70"/>
      <c r="W248" s="70"/>
      <c r="X248" s="70"/>
      <c r="Y248" s="70"/>
      <c r="Z248" s="70"/>
      <c r="AA248" s="70"/>
      <c r="AB248" s="70"/>
      <c r="AC248" s="70"/>
      <c r="AD248" s="136"/>
      <c r="AE248" s="24"/>
      <c r="AF248" s="24"/>
      <c r="AG248" s="73"/>
      <c r="AH248" s="125"/>
      <c r="AI248" s="103"/>
      <c r="AK248" s="113"/>
      <c r="AL248" s="113"/>
      <c r="AM248" s="113"/>
      <c r="AN248" s="113"/>
      <c r="AO248" s="137"/>
      <c r="AP248" s="137"/>
      <c r="AQ248" s="137"/>
      <c r="AR248" s="137"/>
      <c r="AS248" s="137"/>
      <c r="AT248" s="137"/>
      <c r="AU248" s="67"/>
      <c r="AV248" s="44"/>
      <c r="AW248" s="67"/>
      <c r="AX248" s="75"/>
      <c r="AY248" s="123"/>
      <c r="AZ248" s="67"/>
      <c r="BA248" s="138"/>
      <c r="BB248" s="67"/>
      <c r="BC248" s="67"/>
      <c r="BD248" s="67"/>
      <c r="BE248" s="67"/>
      <c r="BF248" s="67"/>
      <c r="BG248" s="67"/>
      <c r="BH248" s="67"/>
      <c r="BI248" s="67"/>
      <c r="BJ248" s="67"/>
      <c r="BK248" s="67"/>
      <c r="BL248" s="67"/>
      <c r="BM248" s="70"/>
      <c r="BN248" s="70"/>
      <c r="BO248" s="70"/>
      <c r="BP248" s="70"/>
      <c r="BQ248" s="70"/>
      <c r="BR248" s="70"/>
      <c r="BS248" s="70"/>
      <c r="BT248" s="70"/>
      <c r="BU248" s="70"/>
      <c r="BV248" s="70"/>
      <c r="BW248" s="70"/>
      <c r="BX248" s="136"/>
      <c r="BY248" s="70"/>
      <c r="BZ248" s="67"/>
      <c r="CA248" s="67"/>
      <c r="CB248" s="67"/>
    </row>
    <row r="249" spans="1:80" s="28" customFormat="1" ht="16" customHeight="1">
      <c r="A249" s="39"/>
      <c r="B249" s="57"/>
      <c r="C249" s="67"/>
      <c r="D249" s="67"/>
      <c r="E249" s="39"/>
      <c r="F249" s="39"/>
      <c r="G249" s="39"/>
      <c r="H249" s="67"/>
      <c r="I249" s="60"/>
      <c r="J249" s="60"/>
      <c r="K249" s="60"/>
      <c r="L249" s="60"/>
      <c r="M249" s="60"/>
      <c r="N249" s="60"/>
      <c r="O249" s="60"/>
      <c r="P249" s="60"/>
      <c r="Q249" s="60"/>
      <c r="R249" s="60"/>
      <c r="S249" s="70"/>
      <c r="T249" s="70"/>
      <c r="U249" s="70"/>
      <c r="V249" s="70"/>
      <c r="W249" s="70"/>
      <c r="X249" s="70"/>
      <c r="Y249" s="70"/>
      <c r="Z249" s="70"/>
      <c r="AA249" s="70"/>
      <c r="AB249" s="70"/>
      <c r="AC249" s="70"/>
      <c r="AD249" s="136"/>
      <c r="AE249" s="24"/>
      <c r="AF249" s="24"/>
      <c r="AG249" s="73"/>
      <c r="AH249" s="125"/>
      <c r="AI249" s="103"/>
      <c r="AK249" s="113"/>
      <c r="AL249" s="113"/>
      <c r="AM249" s="113"/>
      <c r="AN249" s="113"/>
      <c r="AO249" s="137"/>
      <c r="AP249" s="137"/>
      <c r="AQ249" s="137"/>
      <c r="AR249" s="137"/>
      <c r="AS249" s="137"/>
      <c r="AT249" s="137"/>
      <c r="AU249" s="67"/>
      <c r="AV249" s="44"/>
      <c r="AW249" s="67"/>
      <c r="AX249" s="75"/>
      <c r="AY249" s="123"/>
      <c r="AZ249" s="67"/>
      <c r="BA249" s="138"/>
      <c r="BB249" s="67"/>
      <c r="BC249" s="67"/>
      <c r="BD249" s="67"/>
      <c r="BE249" s="67"/>
      <c r="BF249" s="67"/>
      <c r="BG249" s="67"/>
      <c r="BH249" s="67"/>
      <c r="BI249" s="67"/>
      <c r="BJ249" s="67"/>
      <c r="BK249" s="67"/>
      <c r="BL249" s="67"/>
      <c r="BM249" s="70"/>
      <c r="BN249" s="70"/>
      <c r="BO249" s="70"/>
      <c r="BP249" s="70"/>
      <c r="BQ249" s="70"/>
      <c r="BR249" s="70"/>
      <c r="BS249" s="70"/>
      <c r="BT249" s="70"/>
      <c r="BU249" s="70"/>
      <c r="BV249" s="70"/>
      <c r="BW249" s="70"/>
      <c r="BX249" s="136"/>
      <c r="BY249" s="70"/>
      <c r="BZ249" s="67"/>
      <c r="CA249" s="67"/>
      <c r="CB249" s="67"/>
    </row>
    <row r="250" spans="1:80" s="28" customFormat="1" ht="16" customHeight="1">
      <c r="A250" s="39"/>
      <c r="B250" s="57"/>
      <c r="C250" s="67"/>
      <c r="D250" s="67"/>
      <c r="E250" s="39"/>
      <c r="F250" s="39"/>
      <c r="G250" s="39"/>
      <c r="H250" s="67"/>
      <c r="I250" s="60"/>
      <c r="J250" s="60"/>
      <c r="K250" s="60"/>
      <c r="L250" s="60"/>
      <c r="M250" s="60"/>
      <c r="N250" s="60"/>
      <c r="O250" s="60"/>
      <c r="P250" s="60"/>
      <c r="Q250" s="60"/>
      <c r="R250" s="60"/>
      <c r="S250" s="70"/>
      <c r="T250" s="70"/>
      <c r="U250" s="70"/>
      <c r="V250" s="70"/>
      <c r="W250" s="70"/>
      <c r="X250" s="70"/>
      <c r="Y250" s="70"/>
      <c r="Z250" s="70"/>
      <c r="AA250" s="70"/>
      <c r="AB250" s="70"/>
      <c r="AC250" s="70"/>
      <c r="AD250" s="136"/>
      <c r="AE250" s="24"/>
      <c r="AF250" s="24"/>
      <c r="AG250" s="73"/>
      <c r="AH250" s="125"/>
      <c r="AI250" s="103"/>
      <c r="AK250" s="113"/>
      <c r="AL250" s="113"/>
      <c r="AM250" s="113"/>
      <c r="AN250" s="113"/>
      <c r="AO250" s="137"/>
      <c r="AP250" s="137"/>
      <c r="AQ250" s="137"/>
      <c r="AR250" s="137"/>
      <c r="AS250" s="137"/>
      <c r="AT250" s="137"/>
      <c r="AU250" s="67"/>
      <c r="AV250" s="44"/>
      <c r="AW250" s="67"/>
      <c r="AX250" s="75"/>
      <c r="AY250" s="123"/>
      <c r="AZ250" s="67"/>
      <c r="BA250" s="138"/>
      <c r="BB250" s="67"/>
      <c r="BC250" s="67"/>
      <c r="BD250" s="67"/>
      <c r="BE250" s="67"/>
      <c r="BF250" s="67"/>
      <c r="BG250" s="67"/>
      <c r="BH250" s="67"/>
      <c r="BI250" s="67"/>
      <c r="BJ250" s="67"/>
      <c r="BK250" s="67"/>
      <c r="BL250" s="67"/>
      <c r="BM250" s="70"/>
      <c r="BN250" s="70"/>
      <c r="BO250" s="70"/>
      <c r="BP250" s="70"/>
      <c r="BQ250" s="70"/>
      <c r="BR250" s="70"/>
      <c r="BS250" s="70"/>
      <c r="BT250" s="70"/>
      <c r="BU250" s="70"/>
      <c r="BV250" s="70"/>
      <c r="BW250" s="70"/>
      <c r="BX250" s="136"/>
      <c r="BY250" s="70"/>
      <c r="BZ250" s="67"/>
      <c r="CA250" s="67"/>
      <c r="CB250" s="67"/>
    </row>
    <row r="251" spans="1:80" s="28" customFormat="1" ht="16" customHeight="1">
      <c r="A251" s="39"/>
      <c r="B251" s="57"/>
      <c r="C251" s="67"/>
      <c r="D251" s="67"/>
      <c r="E251" s="39"/>
      <c r="F251" s="39"/>
      <c r="G251" s="39"/>
      <c r="H251" s="67"/>
      <c r="I251" s="60"/>
      <c r="J251" s="60"/>
      <c r="K251" s="60"/>
      <c r="L251" s="60"/>
      <c r="M251" s="60"/>
      <c r="N251" s="60"/>
      <c r="O251" s="60"/>
      <c r="P251" s="60"/>
      <c r="Q251" s="60"/>
      <c r="R251" s="60"/>
      <c r="S251" s="70"/>
      <c r="T251" s="70"/>
      <c r="U251" s="70"/>
      <c r="V251" s="70"/>
      <c r="W251" s="70"/>
      <c r="X251" s="70"/>
      <c r="Y251" s="70"/>
      <c r="Z251" s="70"/>
      <c r="AA251" s="70"/>
      <c r="AB251" s="70"/>
      <c r="AC251" s="70"/>
      <c r="AD251" s="136"/>
      <c r="AE251" s="24"/>
      <c r="AF251" s="24"/>
      <c r="AG251" s="73"/>
      <c r="AH251" s="125"/>
      <c r="AI251" s="103"/>
      <c r="AK251" s="113"/>
      <c r="AL251" s="113"/>
      <c r="AM251" s="113"/>
      <c r="AN251" s="113"/>
      <c r="AO251" s="137"/>
      <c r="AP251" s="137"/>
      <c r="AQ251" s="137"/>
      <c r="AR251" s="137"/>
      <c r="AS251" s="137"/>
      <c r="AT251" s="137"/>
      <c r="AU251" s="67"/>
      <c r="AV251" s="44"/>
      <c r="AW251" s="67"/>
      <c r="AX251" s="75"/>
      <c r="AY251" s="123"/>
      <c r="AZ251" s="67"/>
      <c r="BA251" s="138"/>
      <c r="BB251" s="67"/>
      <c r="BC251" s="67"/>
      <c r="BD251" s="67"/>
      <c r="BE251" s="67"/>
      <c r="BF251" s="67"/>
      <c r="BG251" s="67"/>
      <c r="BH251" s="67"/>
      <c r="BI251" s="67"/>
      <c r="BJ251" s="67"/>
      <c r="BK251" s="67"/>
      <c r="BL251" s="67"/>
      <c r="BM251" s="70"/>
      <c r="BN251" s="70"/>
      <c r="BO251" s="70"/>
      <c r="BP251" s="70"/>
      <c r="BQ251" s="70"/>
      <c r="BR251" s="70"/>
      <c r="BS251" s="70"/>
      <c r="BT251" s="70"/>
      <c r="BU251" s="70"/>
      <c r="BV251" s="70"/>
      <c r="BW251" s="70"/>
      <c r="BX251" s="136"/>
      <c r="BY251" s="70"/>
      <c r="BZ251" s="67"/>
      <c r="CA251" s="67"/>
      <c r="CB251" s="67"/>
    </row>
    <row r="252" spans="1:80" s="28" customFormat="1" ht="16" customHeight="1">
      <c r="A252" s="39"/>
      <c r="B252" s="57"/>
      <c r="C252" s="67"/>
      <c r="D252" s="67"/>
      <c r="E252" s="39"/>
      <c r="F252" s="39"/>
      <c r="G252" s="39"/>
      <c r="H252" s="67"/>
      <c r="I252" s="60"/>
      <c r="J252" s="60"/>
      <c r="K252" s="60"/>
      <c r="L252" s="60"/>
      <c r="M252" s="60"/>
      <c r="N252" s="60"/>
      <c r="O252" s="60"/>
      <c r="P252" s="60"/>
      <c r="Q252" s="60"/>
      <c r="R252" s="60"/>
      <c r="S252" s="70"/>
      <c r="T252" s="70"/>
      <c r="U252" s="70"/>
      <c r="V252" s="70"/>
      <c r="W252" s="70"/>
      <c r="X252" s="70"/>
      <c r="Y252" s="70"/>
      <c r="Z252" s="70"/>
      <c r="AA252" s="70"/>
      <c r="AB252" s="70"/>
      <c r="AC252" s="70"/>
      <c r="AD252" s="136"/>
      <c r="AE252" s="24"/>
      <c r="AF252" s="24"/>
      <c r="AG252" s="73"/>
      <c r="AH252" s="125"/>
      <c r="AI252" s="103"/>
      <c r="AK252" s="113"/>
      <c r="AL252" s="113"/>
      <c r="AM252" s="113"/>
      <c r="AN252" s="113"/>
      <c r="AO252" s="137"/>
      <c r="AP252" s="137"/>
      <c r="AQ252" s="137"/>
      <c r="AR252" s="137"/>
      <c r="AS252" s="137"/>
      <c r="AT252" s="137"/>
      <c r="AU252" s="67"/>
      <c r="AV252" s="44"/>
      <c r="AW252" s="67"/>
      <c r="AX252" s="75"/>
      <c r="AY252" s="123"/>
      <c r="AZ252" s="67"/>
      <c r="BA252" s="138"/>
      <c r="BB252" s="67"/>
      <c r="BC252" s="67"/>
      <c r="BD252" s="67"/>
      <c r="BE252" s="67"/>
      <c r="BF252" s="67"/>
      <c r="BG252" s="67"/>
      <c r="BH252" s="67"/>
      <c r="BI252" s="67"/>
      <c r="BJ252" s="67"/>
      <c r="BK252" s="67"/>
      <c r="BL252" s="67"/>
      <c r="BM252" s="70"/>
      <c r="BN252" s="70"/>
      <c r="BO252" s="70"/>
      <c r="BP252" s="70"/>
      <c r="BQ252" s="70"/>
      <c r="BR252" s="70"/>
      <c r="BS252" s="70"/>
      <c r="BT252" s="70"/>
      <c r="BU252" s="70"/>
      <c r="BV252" s="70"/>
      <c r="BW252" s="70"/>
      <c r="BX252" s="136"/>
      <c r="BY252" s="70"/>
      <c r="BZ252" s="67"/>
      <c r="CA252" s="67"/>
      <c r="CB252" s="67"/>
    </row>
    <row r="253" spans="1:80" s="28" customFormat="1" ht="16" customHeight="1">
      <c r="A253" s="39"/>
      <c r="B253" s="57"/>
      <c r="C253" s="67"/>
      <c r="D253" s="67"/>
      <c r="E253" s="39"/>
      <c r="F253" s="39"/>
      <c r="G253" s="39"/>
      <c r="H253" s="67"/>
      <c r="I253" s="60"/>
      <c r="J253" s="60"/>
      <c r="K253" s="60"/>
      <c r="L253" s="60"/>
      <c r="M253" s="60"/>
      <c r="N253" s="60"/>
      <c r="O253" s="60"/>
      <c r="P253" s="60"/>
      <c r="Q253" s="60"/>
      <c r="R253" s="60"/>
      <c r="S253" s="70"/>
      <c r="T253" s="70"/>
      <c r="U253" s="70"/>
      <c r="V253" s="70"/>
      <c r="W253" s="70"/>
      <c r="X253" s="70"/>
      <c r="Y253" s="70"/>
      <c r="Z253" s="70"/>
      <c r="AA253" s="70"/>
      <c r="AB253" s="70"/>
      <c r="AC253" s="70"/>
      <c r="AD253" s="136"/>
      <c r="AE253" s="24"/>
      <c r="AF253" s="24"/>
      <c r="AG253" s="73"/>
      <c r="AH253" s="125"/>
      <c r="AI253" s="103"/>
      <c r="AK253" s="113"/>
      <c r="AL253" s="113"/>
      <c r="AM253" s="113"/>
      <c r="AN253" s="113"/>
      <c r="AO253" s="137"/>
      <c r="AP253" s="137"/>
      <c r="AQ253" s="137"/>
      <c r="AR253" s="137"/>
      <c r="AS253" s="137"/>
      <c r="AT253" s="137"/>
      <c r="AU253" s="67"/>
      <c r="AV253" s="44"/>
      <c r="AW253" s="67"/>
      <c r="AX253" s="75"/>
      <c r="AY253" s="123"/>
      <c r="AZ253" s="67"/>
      <c r="BA253" s="138"/>
      <c r="BB253" s="67"/>
      <c r="BC253" s="67"/>
      <c r="BD253" s="67"/>
      <c r="BE253" s="67"/>
      <c r="BF253" s="67"/>
      <c r="BG253" s="67"/>
      <c r="BH253" s="67"/>
      <c r="BI253" s="67"/>
      <c r="BJ253" s="67"/>
      <c r="BK253" s="67"/>
      <c r="BL253" s="67"/>
      <c r="BM253" s="70"/>
      <c r="BN253" s="70"/>
      <c r="BO253" s="70"/>
      <c r="BP253" s="70"/>
      <c r="BQ253" s="70"/>
      <c r="BR253" s="70"/>
      <c r="BS253" s="70"/>
      <c r="BT253" s="70"/>
      <c r="BU253" s="70"/>
      <c r="BV253" s="70"/>
      <c r="BW253" s="70"/>
      <c r="BX253" s="136"/>
      <c r="BY253" s="70"/>
      <c r="BZ253" s="67"/>
      <c r="CA253" s="67"/>
      <c r="CB253" s="67"/>
    </row>
    <row r="254" spans="1:80" s="28" customFormat="1" ht="16" customHeight="1">
      <c r="A254" s="39"/>
      <c r="B254" s="57"/>
      <c r="C254" s="67"/>
      <c r="D254" s="67"/>
      <c r="E254" s="39"/>
      <c r="F254" s="39"/>
      <c r="G254" s="39"/>
      <c r="H254" s="67"/>
      <c r="I254" s="60"/>
      <c r="J254" s="60"/>
      <c r="K254" s="60"/>
      <c r="L254" s="60"/>
      <c r="M254" s="60"/>
      <c r="N254" s="60"/>
      <c r="O254" s="60"/>
      <c r="P254" s="60"/>
      <c r="Q254" s="60"/>
      <c r="R254" s="60"/>
      <c r="S254" s="70"/>
      <c r="T254" s="70"/>
      <c r="U254" s="70"/>
      <c r="V254" s="70"/>
      <c r="W254" s="70"/>
      <c r="X254" s="70"/>
      <c r="Y254" s="70"/>
      <c r="Z254" s="70"/>
      <c r="AA254" s="70"/>
      <c r="AB254" s="70"/>
      <c r="AC254" s="70"/>
      <c r="AD254" s="136"/>
      <c r="AE254" s="24"/>
      <c r="AF254" s="24"/>
      <c r="AG254" s="73"/>
      <c r="AH254" s="125"/>
      <c r="AI254" s="103"/>
      <c r="AK254" s="113"/>
      <c r="AL254" s="113"/>
      <c r="AM254" s="113"/>
      <c r="AN254" s="113"/>
      <c r="AO254" s="137"/>
      <c r="AP254" s="137"/>
      <c r="AQ254" s="137"/>
      <c r="AR254" s="137"/>
      <c r="AS254" s="137"/>
      <c r="AT254" s="137"/>
      <c r="AU254" s="67"/>
      <c r="AV254" s="44"/>
      <c r="AW254" s="67"/>
      <c r="AX254" s="75"/>
      <c r="AY254" s="123"/>
      <c r="AZ254" s="67"/>
      <c r="BA254" s="138"/>
      <c r="BB254" s="67"/>
      <c r="BC254" s="67"/>
      <c r="BD254" s="67"/>
      <c r="BE254" s="67"/>
      <c r="BF254" s="67"/>
      <c r="BG254" s="67"/>
      <c r="BH254" s="67"/>
      <c r="BI254" s="67"/>
      <c r="BJ254" s="67"/>
      <c r="BK254" s="67"/>
      <c r="BL254" s="67"/>
      <c r="BM254" s="70"/>
      <c r="BN254" s="70"/>
      <c r="BO254" s="70"/>
      <c r="BP254" s="70"/>
      <c r="BQ254" s="70"/>
      <c r="BR254" s="70"/>
      <c r="BS254" s="70"/>
      <c r="BT254" s="70"/>
      <c r="BU254" s="70"/>
      <c r="BV254" s="70"/>
      <c r="BW254" s="70"/>
      <c r="BX254" s="136"/>
      <c r="BY254" s="70"/>
      <c r="BZ254" s="67"/>
      <c r="CA254" s="67"/>
      <c r="CB254" s="67"/>
    </row>
    <row r="255" spans="1:80" s="28" customFormat="1" ht="16" customHeight="1">
      <c r="A255" s="39"/>
      <c r="B255" s="57"/>
      <c r="C255" s="67"/>
      <c r="D255" s="67"/>
      <c r="E255" s="39"/>
      <c r="F255" s="39"/>
      <c r="G255" s="39"/>
      <c r="H255" s="67"/>
      <c r="I255" s="60"/>
      <c r="J255" s="60"/>
      <c r="K255" s="60"/>
      <c r="L255" s="60"/>
      <c r="M255" s="60"/>
      <c r="N255" s="60"/>
      <c r="O255" s="60"/>
      <c r="P255" s="60"/>
      <c r="Q255" s="60"/>
      <c r="R255" s="60"/>
      <c r="S255" s="70"/>
      <c r="T255" s="70"/>
      <c r="U255" s="70"/>
      <c r="V255" s="70"/>
      <c r="W255" s="70"/>
      <c r="X255" s="70"/>
      <c r="Y255" s="70"/>
      <c r="Z255" s="70"/>
      <c r="AA255" s="70"/>
      <c r="AB255" s="70"/>
      <c r="AC255" s="70"/>
      <c r="AD255" s="136"/>
      <c r="AE255" s="24"/>
      <c r="AF255" s="24"/>
      <c r="AG255" s="73"/>
      <c r="AH255" s="125"/>
      <c r="AI255" s="103"/>
      <c r="AK255" s="113"/>
      <c r="AL255" s="113"/>
      <c r="AM255" s="113"/>
      <c r="AN255" s="113"/>
      <c r="AO255" s="137"/>
      <c r="AP255" s="137"/>
      <c r="AQ255" s="137"/>
      <c r="AR255" s="137"/>
      <c r="AS255" s="137"/>
      <c r="AT255" s="137"/>
      <c r="AU255" s="67"/>
      <c r="AV255" s="44"/>
      <c r="AW255" s="67"/>
      <c r="AX255" s="75"/>
      <c r="AY255" s="123"/>
      <c r="AZ255" s="67"/>
      <c r="BA255" s="138"/>
      <c r="BB255" s="67"/>
      <c r="BC255" s="67"/>
      <c r="BD255" s="67"/>
      <c r="BE255" s="67"/>
      <c r="BF255" s="67"/>
      <c r="BG255" s="67"/>
      <c r="BH255" s="67"/>
      <c r="BI255" s="67"/>
      <c r="BJ255" s="67"/>
      <c r="BK255" s="67"/>
      <c r="BL255" s="67"/>
      <c r="BM255" s="70"/>
      <c r="BN255" s="70"/>
      <c r="BO255" s="70"/>
      <c r="BP255" s="70"/>
      <c r="BQ255" s="70"/>
      <c r="BR255" s="70"/>
      <c r="BS255" s="70"/>
      <c r="BT255" s="70"/>
      <c r="BU255" s="70"/>
      <c r="BV255" s="70"/>
      <c r="BW255" s="70"/>
      <c r="BX255" s="136"/>
      <c r="BY255" s="70"/>
      <c r="BZ255" s="67"/>
      <c r="CA255" s="67"/>
      <c r="CB255" s="67"/>
    </row>
    <row r="256" spans="1:80" s="28" customFormat="1" ht="16" customHeight="1">
      <c r="A256" s="39"/>
      <c r="B256" s="57"/>
      <c r="C256" s="67"/>
      <c r="D256" s="67"/>
      <c r="E256" s="39"/>
      <c r="F256" s="39"/>
      <c r="G256" s="39"/>
      <c r="H256" s="67"/>
      <c r="I256" s="60"/>
      <c r="J256" s="60"/>
      <c r="K256" s="60"/>
      <c r="L256" s="60"/>
      <c r="M256" s="60"/>
      <c r="N256" s="60"/>
      <c r="O256" s="60"/>
      <c r="P256" s="60"/>
      <c r="Q256" s="60"/>
      <c r="R256" s="60"/>
      <c r="S256" s="70"/>
      <c r="T256" s="70"/>
      <c r="U256" s="70"/>
      <c r="V256" s="70"/>
      <c r="W256" s="70"/>
      <c r="X256" s="70"/>
      <c r="Y256" s="70"/>
      <c r="Z256" s="70"/>
      <c r="AA256" s="70"/>
      <c r="AB256" s="70"/>
      <c r="AC256" s="70"/>
      <c r="AD256" s="136"/>
      <c r="AE256" s="24"/>
      <c r="AF256" s="24"/>
      <c r="AG256" s="73"/>
      <c r="AH256" s="125"/>
      <c r="AI256" s="103"/>
      <c r="AK256" s="113"/>
      <c r="AL256" s="113"/>
      <c r="AM256" s="113"/>
      <c r="AN256" s="113"/>
      <c r="AO256" s="137"/>
      <c r="AP256" s="137"/>
      <c r="AQ256" s="137"/>
      <c r="AR256" s="137"/>
      <c r="AS256" s="137"/>
      <c r="AT256" s="137"/>
      <c r="AU256" s="67"/>
      <c r="AV256" s="44"/>
      <c r="AW256" s="67"/>
      <c r="AX256" s="75"/>
      <c r="AY256" s="123"/>
      <c r="AZ256" s="67"/>
      <c r="BA256" s="138"/>
      <c r="BB256" s="67"/>
      <c r="BC256" s="67"/>
      <c r="BD256" s="67"/>
      <c r="BE256" s="67"/>
      <c r="BF256" s="67"/>
      <c r="BG256" s="67"/>
      <c r="BH256" s="67"/>
      <c r="BI256" s="67"/>
      <c r="BJ256" s="67"/>
      <c r="BK256" s="67"/>
      <c r="BL256" s="67"/>
      <c r="BM256" s="70"/>
      <c r="BN256" s="70"/>
      <c r="BO256" s="70"/>
      <c r="BP256" s="70"/>
      <c r="BQ256" s="70"/>
      <c r="BR256" s="70"/>
      <c r="BS256" s="70"/>
      <c r="BT256" s="70"/>
      <c r="BU256" s="70"/>
      <c r="BV256" s="70"/>
      <c r="BW256" s="70"/>
      <c r="BX256" s="136"/>
      <c r="BY256" s="70"/>
      <c r="BZ256" s="67"/>
      <c r="CA256" s="67"/>
      <c r="CB256" s="67"/>
    </row>
    <row r="257" spans="1:80" s="28" customFormat="1" ht="16" customHeight="1">
      <c r="A257" s="39"/>
      <c r="B257" s="57"/>
      <c r="C257" s="67"/>
      <c r="D257" s="67"/>
      <c r="E257" s="39"/>
      <c r="F257" s="39"/>
      <c r="G257" s="39"/>
      <c r="H257" s="67"/>
      <c r="I257" s="60"/>
      <c r="J257" s="60"/>
      <c r="K257" s="60"/>
      <c r="L257" s="60"/>
      <c r="M257" s="60"/>
      <c r="N257" s="60"/>
      <c r="O257" s="60"/>
      <c r="P257" s="60"/>
      <c r="Q257" s="60"/>
      <c r="R257" s="60"/>
      <c r="S257" s="70"/>
      <c r="T257" s="70"/>
      <c r="U257" s="70"/>
      <c r="V257" s="70"/>
      <c r="W257" s="70"/>
      <c r="X257" s="70"/>
      <c r="Y257" s="70"/>
      <c r="Z257" s="70"/>
      <c r="AA257" s="70"/>
      <c r="AB257" s="70"/>
      <c r="AC257" s="70"/>
      <c r="AD257" s="136"/>
      <c r="AE257" s="24"/>
      <c r="AF257" s="24"/>
      <c r="AG257" s="73"/>
      <c r="AH257" s="125"/>
      <c r="AI257" s="103"/>
      <c r="AK257" s="113"/>
      <c r="AL257" s="113"/>
      <c r="AM257" s="113"/>
      <c r="AN257" s="113"/>
      <c r="AO257" s="137"/>
      <c r="AP257" s="137"/>
      <c r="AQ257" s="137"/>
      <c r="AR257" s="137"/>
      <c r="AS257" s="137"/>
      <c r="AT257" s="137"/>
      <c r="AU257" s="67"/>
      <c r="AV257" s="44"/>
      <c r="AW257" s="67"/>
      <c r="AX257" s="75"/>
      <c r="AY257" s="123"/>
      <c r="AZ257" s="67"/>
      <c r="BA257" s="138"/>
      <c r="BB257" s="67"/>
      <c r="BC257" s="67"/>
      <c r="BD257" s="67"/>
      <c r="BE257" s="67"/>
      <c r="BF257" s="67"/>
      <c r="BG257" s="67"/>
      <c r="BH257" s="67"/>
      <c r="BI257" s="67"/>
      <c r="BJ257" s="67"/>
      <c r="BK257" s="67"/>
      <c r="BL257" s="67"/>
      <c r="BM257" s="70"/>
      <c r="BN257" s="70"/>
      <c r="BO257" s="70"/>
      <c r="BP257" s="70"/>
      <c r="BQ257" s="70"/>
      <c r="BR257" s="70"/>
      <c r="BS257" s="70"/>
      <c r="BT257" s="70"/>
      <c r="BU257" s="70"/>
      <c r="BV257" s="70"/>
      <c r="BW257" s="70"/>
      <c r="BX257" s="136"/>
      <c r="BY257" s="70"/>
      <c r="BZ257" s="67"/>
      <c r="CA257" s="67"/>
      <c r="CB257" s="67"/>
    </row>
    <row r="258" spans="1:80" s="28" customFormat="1" ht="16" customHeight="1">
      <c r="A258" s="39"/>
      <c r="B258" s="57"/>
      <c r="C258" s="67"/>
      <c r="D258" s="67"/>
      <c r="E258" s="39"/>
      <c r="F258" s="39"/>
      <c r="G258" s="39"/>
      <c r="H258" s="67"/>
      <c r="I258" s="60"/>
      <c r="J258" s="60"/>
      <c r="K258" s="60"/>
      <c r="L258" s="60"/>
      <c r="M258" s="60"/>
      <c r="N258" s="60"/>
      <c r="O258" s="60"/>
      <c r="P258" s="60"/>
      <c r="Q258" s="60"/>
      <c r="R258" s="60"/>
      <c r="S258" s="70"/>
      <c r="T258" s="70"/>
      <c r="U258" s="70"/>
      <c r="V258" s="70"/>
      <c r="W258" s="70"/>
      <c r="X258" s="70"/>
      <c r="Y258" s="70"/>
      <c r="Z258" s="70"/>
      <c r="AA258" s="70"/>
      <c r="AB258" s="70"/>
      <c r="AC258" s="70"/>
      <c r="AD258" s="136"/>
      <c r="AE258" s="24"/>
      <c r="AF258" s="24"/>
      <c r="AG258" s="73"/>
      <c r="AH258" s="125"/>
      <c r="AI258" s="103"/>
      <c r="AK258" s="113"/>
      <c r="AL258" s="113"/>
      <c r="AM258" s="113"/>
      <c r="AN258" s="113"/>
      <c r="AO258" s="137"/>
      <c r="AP258" s="137"/>
      <c r="AQ258" s="137"/>
      <c r="AR258" s="137"/>
      <c r="AS258" s="137"/>
      <c r="AT258" s="137"/>
      <c r="AU258" s="67"/>
      <c r="AV258" s="44"/>
      <c r="AW258" s="67"/>
      <c r="AX258" s="75"/>
      <c r="AY258" s="123"/>
      <c r="AZ258" s="67"/>
      <c r="BA258" s="138"/>
      <c r="BB258" s="67"/>
      <c r="BC258" s="67"/>
      <c r="BD258" s="67"/>
      <c r="BE258" s="67"/>
      <c r="BF258" s="67"/>
      <c r="BG258" s="67"/>
      <c r="BH258" s="67"/>
      <c r="BI258" s="67"/>
      <c r="BJ258" s="67"/>
      <c r="BK258" s="67"/>
      <c r="BL258" s="67"/>
      <c r="BM258" s="70"/>
      <c r="BN258" s="70"/>
      <c r="BO258" s="70"/>
      <c r="BP258" s="70"/>
      <c r="BQ258" s="70"/>
      <c r="BR258" s="70"/>
      <c r="BS258" s="70"/>
      <c r="BT258" s="70"/>
      <c r="BU258" s="70"/>
      <c r="BV258" s="70"/>
      <c r="BW258" s="70"/>
      <c r="BX258" s="136"/>
      <c r="BY258" s="70"/>
      <c r="BZ258" s="67"/>
      <c r="CA258" s="67"/>
      <c r="CB258" s="67"/>
    </row>
    <row r="259" spans="1:80" s="28" customFormat="1" ht="16" customHeight="1">
      <c r="A259" s="39"/>
      <c r="B259" s="57"/>
      <c r="C259" s="67"/>
      <c r="D259" s="67"/>
      <c r="E259" s="39"/>
      <c r="F259" s="39"/>
      <c r="G259" s="39"/>
      <c r="H259" s="67"/>
      <c r="I259" s="60"/>
      <c r="J259" s="60"/>
      <c r="K259" s="60"/>
      <c r="L259" s="60"/>
      <c r="M259" s="60"/>
      <c r="N259" s="60"/>
      <c r="O259" s="60"/>
      <c r="P259" s="60"/>
      <c r="Q259" s="60"/>
      <c r="R259" s="60"/>
      <c r="S259" s="70"/>
      <c r="T259" s="70"/>
      <c r="U259" s="70"/>
      <c r="V259" s="70"/>
      <c r="W259" s="70"/>
      <c r="X259" s="70"/>
      <c r="Y259" s="70"/>
      <c r="Z259" s="70"/>
      <c r="AA259" s="70"/>
      <c r="AB259" s="70"/>
      <c r="AC259" s="70"/>
      <c r="AD259" s="136"/>
      <c r="AE259" s="24"/>
      <c r="AF259" s="24"/>
      <c r="AG259" s="73"/>
      <c r="AH259" s="125"/>
      <c r="AI259" s="103"/>
      <c r="AK259" s="113"/>
      <c r="AL259" s="113"/>
      <c r="AM259" s="113"/>
      <c r="AN259" s="113"/>
      <c r="AO259" s="137"/>
      <c r="AP259" s="137"/>
      <c r="AQ259" s="137"/>
      <c r="AR259" s="137"/>
      <c r="AS259" s="137"/>
      <c r="AT259" s="137"/>
      <c r="AU259" s="67"/>
      <c r="AV259" s="44"/>
      <c r="AW259" s="67"/>
      <c r="AX259" s="75"/>
      <c r="AY259" s="123"/>
      <c r="AZ259" s="67"/>
      <c r="BA259" s="138"/>
      <c r="BB259" s="67"/>
      <c r="BC259" s="67"/>
      <c r="BD259" s="67"/>
      <c r="BE259" s="67"/>
      <c r="BF259" s="67"/>
      <c r="BG259" s="67"/>
      <c r="BH259" s="67"/>
      <c r="BI259" s="67"/>
      <c r="BJ259" s="67"/>
      <c r="BK259" s="67"/>
      <c r="BL259" s="67"/>
      <c r="BM259" s="70"/>
      <c r="BN259" s="70"/>
      <c r="BO259" s="70"/>
      <c r="BP259" s="70"/>
      <c r="BQ259" s="70"/>
      <c r="BR259" s="70"/>
      <c r="BS259" s="70"/>
      <c r="BT259" s="70"/>
      <c r="BU259" s="70"/>
      <c r="BV259" s="70"/>
      <c r="BW259" s="70"/>
      <c r="BX259" s="136"/>
      <c r="BY259" s="70"/>
      <c r="BZ259" s="67"/>
      <c r="CA259" s="67"/>
      <c r="CB259" s="67"/>
    </row>
    <row r="260" spans="1:80" s="28" customFormat="1" ht="16" customHeight="1">
      <c r="A260" s="39"/>
      <c r="B260" s="57"/>
      <c r="C260" s="67"/>
      <c r="D260" s="67"/>
      <c r="E260" s="39"/>
      <c r="F260" s="39"/>
      <c r="G260" s="39"/>
      <c r="H260" s="67"/>
      <c r="I260" s="60"/>
      <c r="J260" s="60"/>
      <c r="K260" s="60"/>
      <c r="L260" s="60"/>
      <c r="M260" s="60"/>
      <c r="N260" s="60"/>
      <c r="O260" s="60"/>
      <c r="P260" s="60"/>
      <c r="Q260" s="60"/>
      <c r="R260" s="60"/>
      <c r="S260" s="70"/>
      <c r="T260" s="70"/>
      <c r="U260" s="70"/>
      <c r="V260" s="70"/>
      <c r="W260" s="70"/>
      <c r="X260" s="70"/>
      <c r="Y260" s="70"/>
      <c r="Z260" s="70"/>
      <c r="AA260" s="70"/>
      <c r="AB260" s="70"/>
      <c r="AC260" s="70"/>
      <c r="AD260" s="136"/>
      <c r="AE260" s="24"/>
      <c r="AF260" s="24"/>
      <c r="AG260" s="73"/>
      <c r="AH260" s="125"/>
      <c r="AI260" s="103"/>
      <c r="AK260" s="113"/>
      <c r="AL260" s="113"/>
      <c r="AM260" s="113"/>
      <c r="AN260" s="113"/>
      <c r="AO260" s="137"/>
      <c r="AP260" s="137"/>
      <c r="AQ260" s="137"/>
      <c r="AR260" s="137"/>
      <c r="AS260" s="137"/>
      <c r="AT260" s="137"/>
      <c r="AU260" s="67"/>
      <c r="AV260" s="44"/>
      <c r="AW260" s="67"/>
      <c r="AX260" s="75"/>
      <c r="AY260" s="123"/>
      <c r="AZ260" s="67"/>
      <c r="BA260" s="138"/>
      <c r="BB260" s="67"/>
      <c r="BC260" s="67"/>
      <c r="BD260" s="67"/>
      <c r="BE260" s="67"/>
      <c r="BF260" s="67"/>
      <c r="BG260" s="67"/>
      <c r="BH260" s="67"/>
      <c r="BI260" s="67"/>
      <c r="BJ260" s="67"/>
      <c r="BK260" s="67"/>
      <c r="BL260" s="67"/>
      <c r="BM260" s="70"/>
      <c r="BN260" s="70"/>
      <c r="BO260" s="70"/>
      <c r="BP260" s="70"/>
      <c r="BQ260" s="70"/>
      <c r="BR260" s="70"/>
      <c r="BS260" s="70"/>
      <c r="BT260" s="70"/>
      <c r="BU260" s="70"/>
      <c r="BV260" s="70"/>
      <c r="BW260" s="70"/>
      <c r="BX260" s="136"/>
      <c r="BY260" s="70"/>
      <c r="BZ260" s="67"/>
      <c r="CA260" s="67"/>
      <c r="CB260" s="67"/>
    </row>
    <row r="261" spans="1:80" s="28" customFormat="1" ht="16" customHeight="1">
      <c r="A261" s="39"/>
      <c r="B261" s="57"/>
      <c r="C261" s="67"/>
      <c r="D261" s="67"/>
      <c r="E261" s="39"/>
      <c r="F261" s="39"/>
      <c r="G261" s="39"/>
      <c r="H261" s="67"/>
      <c r="I261" s="60"/>
      <c r="J261" s="60"/>
      <c r="K261" s="60"/>
      <c r="L261" s="60"/>
      <c r="M261" s="60"/>
      <c r="N261" s="60"/>
      <c r="O261" s="60"/>
      <c r="P261" s="60"/>
      <c r="Q261" s="60"/>
      <c r="R261" s="60"/>
      <c r="S261" s="70"/>
      <c r="T261" s="70"/>
      <c r="U261" s="70"/>
      <c r="V261" s="70"/>
      <c r="W261" s="70"/>
      <c r="X261" s="70"/>
      <c r="Y261" s="70"/>
      <c r="Z261" s="70"/>
      <c r="AA261" s="70"/>
      <c r="AB261" s="70"/>
      <c r="AC261" s="70"/>
      <c r="AD261" s="136"/>
      <c r="AE261" s="24"/>
      <c r="AF261" s="24"/>
      <c r="AG261" s="73"/>
      <c r="AH261" s="125"/>
      <c r="AI261" s="103"/>
      <c r="AK261" s="113"/>
      <c r="AL261" s="113"/>
      <c r="AM261" s="113"/>
      <c r="AN261" s="113"/>
      <c r="AO261" s="137"/>
      <c r="AP261" s="137"/>
      <c r="AQ261" s="137"/>
      <c r="AR261" s="137"/>
      <c r="AS261" s="137"/>
      <c r="AT261" s="137"/>
      <c r="AU261" s="67"/>
      <c r="AV261" s="44"/>
      <c r="AW261" s="67"/>
      <c r="AX261" s="75"/>
      <c r="AY261" s="123"/>
      <c r="AZ261" s="67"/>
      <c r="BA261" s="138"/>
      <c r="BB261" s="67"/>
      <c r="BC261" s="67"/>
      <c r="BD261" s="67"/>
      <c r="BE261" s="67"/>
      <c r="BF261" s="67"/>
      <c r="BG261" s="67"/>
      <c r="BH261" s="67"/>
      <c r="BI261" s="67"/>
      <c r="BJ261" s="67"/>
      <c r="BK261" s="67"/>
      <c r="BL261" s="67"/>
      <c r="BM261" s="70"/>
      <c r="BN261" s="70"/>
      <c r="BO261" s="70"/>
      <c r="BP261" s="70"/>
      <c r="BQ261" s="70"/>
      <c r="BR261" s="70"/>
      <c r="BS261" s="70"/>
      <c r="BT261" s="70"/>
      <c r="BU261" s="70"/>
      <c r="BV261" s="70"/>
      <c r="BW261" s="70"/>
      <c r="BX261" s="136"/>
      <c r="BY261" s="70"/>
      <c r="BZ261" s="67"/>
      <c r="CA261" s="67"/>
      <c r="CB261" s="67"/>
    </row>
    <row r="262" spans="1:80" s="28" customFormat="1" ht="16" customHeight="1">
      <c r="A262" s="39"/>
      <c r="B262" s="57"/>
      <c r="C262" s="67"/>
      <c r="D262" s="67"/>
      <c r="E262" s="39"/>
      <c r="F262" s="39"/>
      <c r="G262" s="39"/>
      <c r="H262" s="67"/>
      <c r="I262" s="60"/>
      <c r="J262" s="60"/>
      <c r="K262" s="60"/>
      <c r="L262" s="60"/>
      <c r="M262" s="60"/>
      <c r="N262" s="60"/>
      <c r="O262" s="60"/>
      <c r="P262" s="60"/>
      <c r="Q262" s="60"/>
      <c r="R262" s="60"/>
      <c r="S262" s="70"/>
      <c r="T262" s="70"/>
      <c r="U262" s="70"/>
      <c r="V262" s="70"/>
      <c r="W262" s="70"/>
      <c r="X262" s="70"/>
      <c r="Y262" s="70"/>
      <c r="Z262" s="70"/>
      <c r="AA262" s="70"/>
      <c r="AB262" s="70"/>
      <c r="AC262" s="70"/>
      <c r="AD262" s="136"/>
      <c r="AE262" s="24"/>
      <c r="AF262" s="24"/>
      <c r="AG262" s="73"/>
      <c r="AH262" s="125"/>
      <c r="AI262" s="103"/>
      <c r="AK262" s="113"/>
      <c r="AL262" s="113"/>
      <c r="AM262" s="113"/>
      <c r="AN262" s="113"/>
      <c r="AO262" s="137"/>
      <c r="AP262" s="137"/>
      <c r="AQ262" s="137"/>
      <c r="AR262" s="137"/>
      <c r="AS262" s="137"/>
      <c r="AT262" s="137"/>
      <c r="AU262" s="67"/>
      <c r="AV262" s="44"/>
      <c r="AW262" s="67"/>
      <c r="AX262" s="75"/>
      <c r="AY262" s="123"/>
      <c r="AZ262" s="67"/>
      <c r="BA262" s="138"/>
      <c r="BB262" s="67"/>
      <c r="BC262" s="67"/>
      <c r="BD262" s="67"/>
      <c r="BE262" s="67"/>
      <c r="BF262" s="67"/>
      <c r="BG262" s="67"/>
      <c r="BH262" s="67"/>
      <c r="BI262" s="67"/>
      <c r="BJ262" s="67"/>
      <c r="BK262" s="67"/>
      <c r="BL262" s="67"/>
      <c r="BM262" s="70"/>
      <c r="BN262" s="70"/>
      <c r="BO262" s="70"/>
      <c r="BP262" s="70"/>
      <c r="BQ262" s="70"/>
      <c r="BR262" s="70"/>
      <c r="BS262" s="70"/>
      <c r="BT262" s="70"/>
      <c r="BU262" s="70"/>
      <c r="BV262" s="70"/>
      <c r="BW262" s="70"/>
      <c r="BX262" s="136"/>
      <c r="BY262" s="70"/>
      <c r="BZ262" s="67"/>
      <c r="CA262" s="67"/>
      <c r="CB262" s="67"/>
    </row>
    <row r="263" spans="1:80" s="28" customFormat="1" ht="16" customHeight="1">
      <c r="A263" s="39"/>
      <c r="B263" s="57"/>
      <c r="C263" s="67"/>
      <c r="D263" s="67"/>
      <c r="E263" s="39"/>
      <c r="F263" s="39"/>
      <c r="G263" s="39"/>
      <c r="H263" s="67"/>
      <c r="I263" s="60"/>
      <c r="J263" s="60"/>
      <c r="K263" s="60"/>
      <c r="L263" s="60"/>
      <c r="M263" s="60"/>
      <c r="N263" s="60"/>
      <c r="O263" s="60"/>
      <c r="P263" s="60"/>
      <c r="Q263" s="60"/>
      <c r="R263" s="60"/>
      <c r="S263" s="70"/>
      <c r="T263" s="70"/>
      <c r="U263" s="70"/>
      <c r="V263" s="70"/>
      <c r="W263" s="70"/>
      <c r="X263" s="70"/>
      <c r="Y263" s="70"/>
      <c r="Z263" s="70"/>
      <c r="AA263" s="70"/>
      <c r="AB263" s="70"/>
      <c r="AC263" s="70"/>
      <c r="AD263" s="136"/>
      <c r="AE263" s="24"/>
      <c r="AF263" s="24"/>
      <c r="AG263" s="73"/>
      <c r="AH263" s="125"/>
      <c r="AI263" s="103"/>
      <c r="AK263" s="113"/>
      <c r="AL263" s="113"/>
      <c r="AM263" s="113"/>
      <c r="AN263" s="113"/>
      <c r="AO263" s="137"/>
      <c r="AP263" s="137"/>
      <c r="AQ263" s="137"/>
      <c r="AR263" s="137"/>
      <c r="AS263" s="137"/>
      <c r="AT263" s="137"/>
      <c r="AU263" s="67"/>
      <c r="AV263" s="44"/>
      <c r="AW263" s="67"/>
      <c r="AX263" s="75"/>
      <c r="AY263" s="123"/>
      <c r="AZ263" s="67"/>
      <c r="BA263" s="138"/>
      <c r="BB263" s="67"/>
      <c r="BC263" s="67"/>
      <c r="BD263" s="67"/>
      <c r="BE263" s="67"/>
      <c r="BF263" s="67"/>
      <c r="BG263" s="67"/>
      <c r="BH263" s="67"/>
      <c r="BI263" s="67"/>
      <c r="BJ263" s="67"/>
      <c r="BK263" s="67"/>
      <c r="BL263" s="67"/>
      <c r="BM263" s="70"/>
      <c r="BN263" s="70"/>
      <c r="BO263" s="70"/>
      <c r="BP263" s="70"/>
      <c r="BQ263" s="70"/>
      <c r="BR263" s="70"/>
      <c r="BS263" s="70"/>
      <c r="BT263" s="70"/>
      <c r="BU263" s="70"/>
      <c r="BV263" s="70"/>
      <c r="BW263" s="70"/>
      <c r="BX263" s="136"/>
      <c r="BY263" s="70"/>
      <c r="BZ263" s="67"/>
      <c r="CA263" s="67"/>
      <c r="CB263" s="67"/>
    </row>
    <row r="264" spans="1:80" s="28" customFormat="1" ht="16" customHeight="1">
      <c r="A264" s="39"/>
      <c r="B264" s="57"/>
      <c r="C264" s="67"/>
      <c r="D264" s="67"/>
      <c r="E264" s="39"/>
      <c r="F264" s="39"/>
      <c r="G264" s="39"/>
      <c r="H264" s="67"/>
      <c r="I264" s="60"/>
      <c r="J264" s="60"/>
      <c r="K264" s="60"/>
      <c r="L264" s="60"/>
      <c r="M264" s="60"/>
      <c r="N264" s="60"/>
      <c r="O264" s="60"/>
      <c r="P264" s="60"/>
      <c r="Q264" s="60"/>
      <c r="R264" s="60"/>
      <c r="S264" s="70"/>
      <c r="T264" s="70"/>
      <c r="U264" s="70"/>
      <c r="V264" s="70"/>
      <c r="W264" s="70"/>
      <c r="X264" s="70"/>
      <c r="Y264" s="70"/>
      <c r="Z264" s="70"/>
      <c r="AA264" s="70"/>
      <c r="AB264" s="70"/>
      <c r="AC264" s="70"/>
      <c r="AD264" s="136"/>
      <c r="AE264" s="24"/>
      <c r="AF264" s="24"/>
      <c r="AG264" s="73"/>
      <c r="AH264" s="125"/>
      <c r="AI264" s="103"/>
      <c r="AK264" s="113"/>
      <c r="AL264" s="113"/>
      <c r="AM264" s="113"/>
      <c r="AN264" s="113"/>
      <c r="AO264" s="137"/>
      <c r="AP264" s="137"/>
      <c r="AQ264" s="137"/>
      <c r="AR264" s="137"/>
      <c r="AS264" s="137"/>
      <c r="AT264" s="137"/>
      <c r="AU264" s="67"/>
      <c r="AV264" s="44"/>
      <c r="AW264" s="67"/>
      <c r="AX264" s="75"/>
      <c r="AY264" s="123"/>
      <c r="AZ264" s="67"/>
      <c r="BA264" s="138"/>
      <c r="BB264" s="67"/>
      <c r="BC264" s="67"/>
      <c r="BD264" s="67"/>
      <c r="BE264" s="67"/>
      <c r="BF264" s="67"/>
      <c r="BG264" s="67"/>
      <c r="BH264" s="67"/>
      <c r="BI264" s="67"/>
      <c r="BJ264" s="67"/>
      <c r="BK264" s="67"/>
      <c r="BL264" s="67"/>
      <c r="BM264" s="70"/>
      <c r="BN264" s="70"/>
      <c r="BO264" s="70"/>
      <c r="BP264" s="70"/>
      <c r="BQ264" s="70"/>
      <c r="BR264" s="70"/>
      <c r="BS264" s="70"/>
      <c r="BT264" s="70"/>
      <c r="BU264" s="70"/>
      <c r="BV264" s="70"/>
      <c r="BW264" s="70"/>
      <c r="BX264" s="136"/>
      <c r="BY264" s="70"/>
      <c r="BZ264" s="67"/>
      <c r="CA264" s="67"/>
      <c r="CB264" s="67"/>
    </row>
    <row r="265" spans="1:80" s="28" customFormat="1" ht="16" customHeight="1">
      <c r="A265" s="39"/>
      <c r="B265" s="57"/>
      <c r="C265" s="67"/>
      <c r="D265" s="67"/>
      <c r="E265" s="39"/>
      <c r="F265" s="39"/>
      <c r="G265" s="39"/>
      <c r="H265" s="67"/>
      <c r="I265" s="60"/>
      <c r="J265" s="60"/>
      <c r="K265" s="60"/>
      <c r="L265" s="60"/>
      <c r="M265" s="60"/>
      <c r="N265" s="60"/>
      <c r="O265" s="60"/>
      <c r="P265" s="60"/>
      <c r="Q265" s="60"/>
      <c r="R265" s="60"/>
      <c r="S265" s="70"/>
      <c r="T265" s="70"/>
      <c r="U265" s="70"/>
      <c r="V265" s="70"/>
      <c r="W265" s="70"/>
      <c r="X265" s="70"/>
      <c r="Y265" s="70"/>
      <c r="Z265" s="70"/>
      <c r="AA265" s="70"/>
      <c r="AB265" s="70"/>
      <c r="AC265" s="70"/>
      <c r="AD265" s="136"/>
      <c r="AE265" s="24"/>
      <c r="AF265" s="24"/>
      <c r="AG265" s="73"/>
      <c r="AH265" s="125"/>
      <c r="AI265" s="103"/>
      <c r="AK265" s="113"/>
      <c r="AL265" s="113"/>
      <c r="AM265" s="113"/>
      <c r="AN265" s="113"/>
      <c r="AO265" s="137"/>
      <c r="AP265" s="137"/>
      <c r="AQ265" s="137"/>
      <c r="AR265" s="137"/>
      <c r="AS265" s="137"/>
      <c r="AT265" s="137"/>
      <c r="AU265" s="67"/>
      <c r="AV265" s="44"/>
      <c r="AW265" s="67"/>
      <c r="AX265" s="75"/>
      <c r="AY265" s="123"/>
      <c r="AZ265" s="67"/>
      <c r="BA265" s="138"/>
      <c r="BB265" s="67"/>
      <c r="BC265" s="67"/>
      <c r="BD265" s="67"/>
      <c r="BE265" s="67"/>
      <c r="BF265" s="67"/>
      <c r="BG265" s="67"/>
      <c r="BH265" s="67"/>
      <c r="BI265" s="67"/>
      <c r="BJ265" s="67"/>
      <c r="BK265" s="67"/>
      <c r="BL265" s="67"/>
      <c r="BM265" s="70"/>
      <c r="BN265" s="70"/>
      <c r="BO265" s="70"/>
      <c r="BP265" s="70"/>
      <c r="BQ265" s="70"/>
      <c r="BR265" s="70"/>
      <c r="BS265" s="70"/>
      <c r="BT265" s="70"/>
      <c r="BU265" s="70"/>
      <c r="BV265" s="70"/>
      <c r="BW265" s="70"/>
      <c r="BX265" s="136"/>
      <c r="BY265" s="70"/>
      <c r="BZ265" s="67"/>
      <c r="CA265" s="67"/>
      <c r="CB265" s="67"/>
    </row>
    <row r="266" spans="1:80" s="28" customFormat="1" ht="16" customHeight="1">
      <c r="A266" s="39"/>
      <c r="B266" s="57"/>
      <c r="C266" s="67"/>
      <c r="D266" s="67"/>
      <c r="E266" s="39"/>
      <c r="F266" s="39"/>
      <c r="G266" s="39"/>
      <c r="H266" s="67"/>
      <c r="I266" s="60"/>
      <c r="J266" s="60"/>
      <c r="K266" s="60"/>
      <c r="L266" s="60"/>
      <c r="M266" s="60"/>
      <c r="N266" s="60"/>
      <c r="O266" s="60"/>
      <c r="P266" s="60"/>
      <c r="Q266" s="60"/>
      <c r="R266" s="60"/>
      <c r="S266" s="70"/>
      <c r="T266" s="70"/>
      <c r="U266" s="70"/>
      <c r="V266" s="70"/>
      <c r="W266" s="70"/>
      <c r="X266" s="70"/>
      <c r="Y266" s="70"/>
      <c r="Z266" s="70"/>
      <c r="AA266" s="70"/>
      <c r="AB266" s="70"/>
      <c r="AC266" s="70"/>
      <c r="AD266" s="136"/>
      <c r="AE266" s="24"/>
      <c r="AF266" s="24"/>
      <c r="AG266" s="73"/>
      <c r="AH266" s="125"/>
      <c r="AI266" s="103"/>
      <c r="AK266" s="113"/>
      <c r="AL266" s="113"/>
      <c r="AM266" s="113"/>
      <c r="AN266" s="113"/>
      <c r="AO266" s="137"/>
      <c r="AP266" s="137"/>
      <c r="AQ266" s="137"/>
      <c r="AR266" s="137"/>
      <c r="AS266" s="137"/>
      <c r="AT266" s="137"/>
      <c r="AU266" s="67"/>
      <c r="AV266" s="44"/>
      <c r="AW266" s="67"/>
      <c r="AX266" s="75"/>
      <c r="AY266" s="123"/>
      <c r="AZ266" s="67"/>
      <c r="BA266" s="138"/>
      <c r="BB266" s="67"/>
      <c r="BC266" s="67"/>
      <c r="BD266" s="67"/>
      <c r="BE266" s="67"/>
      <c r="BF266" s="67"/>
      <c r="BG266" s="67"/>
      <c r="BH266" s="67"/>
      <c r="BI266" s="67"/>
      <c r="BJ266" s="67"/>
      <c r="BK266" s="67"/>
      <c r="BL266" s="67"/>
      <c r="BM266" s="70"/>
      <c r="BN266" s="70"/>
      <c r="BO266" s="70"/>
      <c r="BP266" s="70"/>
      <c r="BQ266" s="70"/>
      <c r="BR266" s="70"/>
      <c r="BS266" s="70"/>
      <c r="BT266" s="70"/>
      <c r="BU266" s="70"/>
      <c r="BV266" s="70"/>
      <c r="BW266" s="70"/>
      <c r="BX266" s="136"/>
      <c r="BY266" s="70"/>
      <c r="BZ266" s="67"/>
      <c r="CA266" s="67"/>
      <c r="CB266" s="67"/>
    </row>
    <row r="267" spans="1:80" s="28" customFormat="1" ht="16" customHeight="1">
      <c r="A267" s="39"/>
      <c r="B267" s="57"/>
      <c r="C267" s="67"/>
      <c r="D267" s="67"/>
      <c r="E267" s="39"/>
      <c r="F267" s="39"/>
      <c r="G267" s="39"/>
      <c r="H267" s="67"/>
      <c r="I267" s="60"/>
      <c r="J267" s="60"/>
      <c r="K267" s="60"/>
      <c r="L267" s="60"/>
      <c r="M267" s="60"/>
      <c r="N267" s="60"/>
      <c r="O267" s="60"/>
      <c r="P267" s="60"/>
      <c r="Q267" s="60"/>
      <c r="R267" s="60"/>
      <c r="S267" s="70"/>
      <c r="T267" s="70"/>
      <c r="U267" s="70"/>
      <c r="V267" s="70"/>
      <c r="W267" s="70"/>
      <c r="X267" s="70"/>
      <c r="Y267" s="70"/>
      <c r="Z267" s="70"/>
      <c r="AA267" s="70"/>
      <c r="AB267" s="70"/>
      <c r="AC267" s="70"/>
      <c r="AD267" s="136"/>
      <c r="AE267" s="24"/>
      <c r="AF267" s="24"/>
      <c r="AG267" s="73"/>
      <c r="AH267" s="125"/>
      <c r="AI267" s="103"/>
      <c r="AK267" s="113"/>
      <c r="AL267" s="113"/>
      <c r="AM267" s="113"/>
      <c r="AN267" s="113"/>
      <c r="AO267" s="137"/>
      <c r="AP267" s="137"/>
      <c r="AQ267" s="137"/>
      <c r="AR267" s="137"/>
      <c r="AS267" s="137"/>
      <c r="AT267" s="137"/>
      <c r="AU267" s="67"/>
      <c r="AV267" s="44"/>
      <c r="AW267" s="67"/>
      <c r="AX267" s="75"/>
      <c r="AY267" s="123"/>
      <c r="AZ267" s="67"/>
      <c r="BA267" s="138"/>
      <c r="BB267" s="67"/>
      <c r="BC267" s="67"/>
      <c r="BD267" s="67"/>
      <c r="BE267" s="67"/>
      <c r="BF267" s="67"/>
      <c r="BG267" s="67"/>
      <c r="BH267" s="67"/>
      <c r="BI267" s="67"/>
      <c r="BJ267" s="67"/>
      <c r="BK267" s="67"/>
      <c r="BL267" s="67"/>
      <c r="BM267" s="70"/>
      <c r="BN267" s="70"/>
      <c r="BO267" s="70"/>
      <c r="BP267" s="70"/>
      <c r="BQ267" s="70"/>
      <c r="BR267" s="70"/>
      <c r="BS267" s="70"/>
      <c r="BT267" s="70"/>
      <c r="BU267" s="70"/>
      <c r="BV267" s="70"/>
      <c r="BW267" s="70"/>
      <c r="BX267" s="136"/>
      <c r="BY267" s="70"/>
      <c r="BZ267" s="67"/>
      <c r="CA267" s="67"/>
      <c r="CB267" s="67"/>
    </row>
    <row r="268" spans="1:80" s="28" customFormat="1" ht="16" customHeight="1">
      <c r="A268" s="39"/>
      <c r="B268" s="57"/>
      <c r="C268" s="67"/>
      <c r="D268" s="67"/>
      <c r="E268" s="39"/>
      <c r="F268" s="39"/>
      <c r="G268" s="39"/>
      <c r="H268" s="67"/>
      <c r="I268" s="60"/>
      <c r="J268" s="60"/>
      <c r="K268" s="60"/>
      <c r="L268" s="60"/>
      <c r="M268" s="60"/>
      <c r="N268" s="60"/>
      <c r="O268" s="60"/>
      <c r="P268" s="60"/>
      <c r="Q268" s="60"/>
      <c r="R268" s="60"/>
      <c r="S268" s="70"/>
      <c r="T268" s="70"/>
      <c r="U268" s="70"/>
      <c r="V268" s="70"/>
      <c r="W268" s="70"/>
      <c r="X268" s="70"/>
      <c r="Y268" s="70"/>
      <c r="Z268" s="70"/>
      <c r="AA268" s="70"/>
      <c r="AB268" s="70"/>
      <c r="AC268" s="70"/>
      <c r="AD268" s="136"/>
      <c r="AE268" s="24"/>
      <c r="AF268" s="24"/>
      <c r="AG268" s="73"/>
      <c r="AH268" s="125"/>
      <c r="AI268" s="103"/>
      <c r="AK268" s="113"/>
      <c r="AL268" s="113"/>
      <c r="AM268" s="113"/>
      <c r="AN268" s="113"/>
      <c r="AO268" s="137"/>
      <c r="AP268" s="137"/>
      <c r="AQ268" s="137"/>
      <c r="AR268" s="137"/>
      <c r="AS268" s="137"/>
      <c r="AT268" s="137"/>
      <c r="AU268" s="67"/>
      <c r="AV268" s="44"/>
      <c r="AW268" s="67"/>
      <c r="AX268" s="75"/>
      <c r="AY268" s="123"/>
      <c r="AZ268" s="67"/>
      <c r="BA268" s="138"/>
      <c r="BB268" s="67"/>
      <c r="BC268" s="67"/>
      <c r="BD268" s="67"/>
      <c r="BE268" s="67"/>
      <c r="BF268" s="67"/>
      <c r="BG268" s="67"/>
      <c r="BH268" s="67"/>
      <c r="BI268" s="67"/>
      <c r="BJ268" s="67"/>
      <c r="BK268" s="67"/>
      <c r="BL268" s="67"/>
      <c r="BM268" s="70"/>
      <c r="BN268" s="70"/>
      <c r="BO268" s="70"/>
      <c r="BP268" s="70"/>
      <c r="BQ268" s="70"/>
      <c r="BR268" s="70"/>
      <c r="BS268" s="70"/>
      <c r="BT268" s="70"/>
      <c r="BU268" s="70"/>
      <c r="BV268" s="70"/>
      <c r="BW268" s="70"/>
      <c r="BX268" s="136"/>
      <c r="BY268" s="70"/>
      <c r="BZ268" s="67"/>
      <c r="CA268" s="67"/>
      <c r="CB268" s="67"/>
    </row>
    <row r="269" spans="1:80" s="28" customFormat="1" ht="16" customHeight="1">
      <c r="A269" s="39"/>
      <c r="B269" s="57"/>
      <c r="C269" s="67"/>
      <c r="D269" s="67"/>
      <c r="E269" s="39"/>
      <c r="F269" s="39"/>
      <c r="G269" s="39"/>
      <c r="H269" s="67"/>
      <c r="I269" s="60"/>
      <c r="J269" s="60"/>
      <c r="K269" s="60"/>
      <c r="L269" s="60"/>
      <c r="M269" s="60"/>
      <c r="N269" s="60"/>
      <c r="O269" s="60"/>
      <c r="P269" s="60"/>
      <c r="Q269" s="60"/>
      <c r="R269" s="60"/>
      <c r="S269" s="70"/>
      <c r="T269" s="70"/>
      <c r="U269" s="70"/>
      <c r="V269" s="70"/>
      <c r="W269" s="70"/>
      <c r="X269" s="70"/>
      <c r="Y269" s="70"/>
      <c r="Z269" s="70"/>
      <c r="AA269" s="70"/>
      <c r="AB269" s="70"/>
      <c r="AC269" s="70"/>
      <c r="AD269" s="136"/>
      <c r="AE269" s="24"/>
      <c r="AF269" s="24"/>
      <c r="AG269" s="73"/>
      <c r="AH269" s="125"/>
      <c r="AI269" s="103"/>
      <c r="AK269" s="113"/>
      <c r="AL269" s="113"/>
      <c r="AM269" s="113"/>
      <c r="AN269" s="113"/>
      <c r="AO269" s="137"/>
      <c r="AP269" s="137"/>
      <c r="AQ269" s="137"/>
      <c r="AR269" s="137"/>
      <c r="AS269" s="137"/>
      <c r="AT269" s="137"/>
      <c r="AU269" s="67"/>
      <c r="AV269" s="44"/>
      <c r="AW269" s="67"/>
      <c r="AX269" s="75"/>
      <c r="AY269" s="123"/>
      <c r="AZ269" s="67"/>
      <c r="BA269" s="138"/>
      <c r="BB269" s="67"/>
      <c r="BC269" s="67"/>
      <c r="BD269" s="67"/>
      <c r="BE269" s="67"/>
      <c r="BF269" s="67"/>
      <c r="BG269" s="67"/>
      <c r="BH269" s="67"/>
      <c r="BI269" s="67"/>
      <c r="BJ269" s="67"/>
      <c r="BK269" s="67"/>
      <c r="BL269" s="67"/>
      <c r="BM269" s="70"/>
      <c r="BN269" s="70"/>
      <c r="BO269" s="70"/>
      <c r="BP269" s="70"/>
      <c r="BQ269" s="70"/>
      <c r="BR269" s="70"/>
      <c r="BS269" s="70"/>
      <c r="BT269" s="70"/>
      <c r="BU269" s="70"/>
      <c r="BV269" s="70"/>
      <c r="BW269" s="70"/>
      <c r="BX269" s="136"/>
      <c r="BY269" s="70"/>
      <c r="BZ269" s="67"/>
      <c r="CA269" s="67"/>
      <c r="CB269" s="67"/>
    </row>
    <row r="270" spans="1:80" s="28" customFormat="1" ht="16" customHeight="1">
      <c r="A270" s="39"/>
      <c r="B270" s="57"/>
      <c r="C270" s="67"/>
      <c r="D270" s="67"/>
      <c r="E270" s="39"/>
      <c r="F270" s="39"/>
      <c r="G270" s="39"/>
      <c r="H270" s="67"/>
      <c r="I270" s="60"/>
      <c r="J270" s="60"/>
      <c r="K270" s="60"/>
      <c r="L270" s="60"/>
      <c r="M270" s="60"/>
      <c r="N270" s="60"/>
      <c r="O270" s="60"/>
      <c r="P270" s="60"/>
      <c r="Q270" s="60"/>
      <c r="R270" s="60"/>
      <c r="S270" s="70"/>
      <c r="T270" s="70"/>
      <c r="U270" s="70"/>
      <c r="V270" s="70"/>
      <c r="W270" s="70"/>
      <c r="X270" s="70"/>
      <c r="Y270" s="70"/>
      <c r="Z270" s="70"/>
      <c r="AA270" s="70"/>
      <c r="AB270" s="70"/>
      <c r="AC270" s="70"/>
      <c r="AD270" s="136"/>
      <c r="AE270" s="24"/>
      <c r="AF270" s="24"/>
      <c r="AG270" s="73"/>
      <c r="AH270" s="125"/>
      <c r="AI270" s="103"/>
      <c r="AK270" s="113"/>
      <c r="AL270" s="113"/>
      <c r="AM270" s="113"/>
      <c r="AN270" s="113"/>
      <c r="AO270" s="137"/>
      <c r="AP270" s="137"/>
      <c r="AQ270" s="137"/>
      <c r="AR270" s="137"/>
      <c r="AS270" s="137"/>
      <c r="AT270" s="137"/>
      <c r="AU270" s="67"/>
      <c r="AV270" s="44"/>
      <c r="AW270" s="67"/>
      <c r="AX270" s="75"/>
      <c r="AY270" s="123"/>
      <c r="AZ270" s="67"/>
      <c r="BA270" s="138"/>
      <c r="BB270" s="67"/>
      <c r="BC270" s="67"/>
      <c r="BD270" s="67"/>
      <c r="BE270" s="67"/>
      <c r="BF270" s="67"/>
      <c r="BG270" s="67"/>
      <c r="BH270" s="67"/>
      <c r="BI270" s="67"/>
      <c r="BJ270" s="67"/>
      <c r="BK270" s="67"/>
      <c r="BL270" s="67"/>
      <c r="BM270" s="70"/>
      <c r="BN270" s="70"/>
      <c r="BO270" s="70"/>
      <c r="BP270" s="70"/>
      <c r="BQ270" s="70"/>
      <c r="BR270" s="70"/>
      <c r="BS270" s="70"/>
      <c r="BT270" s="70"/>
      <c r="BU270" s="70"/>
      <c r="BV270" s="70"/>
      <c r="BW270" s="70"/>
      <c r="BX270" s="136"/>
      <c r="BY270" s="70"/>
      <c r="BZ270" s="67"/>
      <c r="CA270" s="67"/>
      <c r="CB270" s="67"/>
    </row>
    <row r="271" spans="1:80" s="28" customFormat="1" ht="16" customHeight="1">
      <c r="A271" s="39"/>
      <c r="B271" s="57"/>
      <c r="C271" s="67"/>
      <c r="D271" s="67"/>
      <c r="E271" s="39"/>
      <c r="F271" s="39"/>
      <c r="G271" s="39"/>
      <c r="H271" s="67"/>
      <c r="I271" s="60"/>
      <c r="J271" s="60"/>
      <c r="K271" s="60"/>
      <c r="L271" s="60"/>
      <c r="M271" s="60"/>
      <c r="N271" s="60"/>
      <c r="O271" s="60"/>
      <c r="P271" s="60"/>
      <c r="Q271" s="60"/>
      <c r="R271" s="60"/>
      <c r="S271" s="70"/>
      <c r="T271" s="70"/>
      <c r="U271" s="70"/>
      <c r="V271" s="70"/>
      <c r="W271" s="70"/>
      <c r="X271" s="70"/>
      <c r="Y271" s="70"/>
      <c r="Z271" s="70"/>
      <c r="AA271" s="70"/>
      <c r="AB271" s="70"/>
      <c r="AC271" s="70"/>
      <c r="AD271" s="136"/>
      <c r="AE271" s="24"/>
      <c r="AF271" s="24"/>
      <c r="AG271" s="73"/>
      <c r="AH271" s="125"/>
      <c r="AI271" s="103"/>
      <c r="AK271" s="113"/>
      <c r="AL271" s="113"/>
      <c r="AM271" s="113"/>
      <c r="AN271" s="113"/>
      <c r="AO271" s="137"/>
      <c r="AP271" s="137"/>
      <c r="AQ271" s="137"/>
      <c r="AR271" s="137"/>
      <c r="AS271" s="137"/>
      <c r="AT271" s="137"/>
      <c r="AU271" s="67"/>
      <c r="AV271" s="44"/>
      <c r="AW271" s="67"/>
      <c r="AX271" s="75"/>
      <c r="AY271" s="123"/>
      <c r="AZ271" s="67"/>
      <c r="BA271" s="138"/>
      <c r="BB271" s="67"/>
      <c r="BC271" s="67"/>
      <c r="BD271" s="67"/>
      <c r="BE271" s="67"/>
      <c r="BF271" s="67"/>
      <c r="BG271" s="67"/>
      <c r="BH271" s="67"/>
      <c r="BI271" s="67"/>
      <c r="BJ271" s="67"/>
      <c r="BK271" s="67"/>
      <c r="BL271" s="67"/>
      <c r="BM271" s="70"/>
      <c r="BN271" s="70"/>
      <c r="BO271" s="70"/>
      <c r="BP271" s="70"/>
      <c r="BQ271" s="70"/>
      <c r="BR271" s="70"/>
      <c r="BS271" s="70"/>
      <c r="BT271" s="70"/>
      <c r="BU271" s="70"/>
      <c r="BV271" s="70"/>
      <c r="BW271" s="70"/>
      <c r="BX271" s="136"/>
      <c r="BY271" s="70"/>
      <c r="BZ271" s="67"/>
      <c r="CA271" s="67"/>
      <c r="CB271" s="67"/>
    </row>
    <row r="272" spans="1:80" s="28" customFormat="1" ht="16" customHeight="1">
      <c r="A272" s="39"/>
      <c r="B272" s="57"/>
      <c r="C272" s="67"/>
      <c r="D272" s="67"/>
      <c r="E272" s="39"/>
      <c r="F272" s="39"/>
      <c r="G272" s="39"/>
      <c r="H272" s="67"/>
      <c r="I272" s="60"/>
      <c r="J272" s="60"/>
      <c r="K272" s="60"/>
      <c r="L272" s="60"/>
      <c r="M272" s="60"/>
      <c r="N272" s="60"/>
      <c r="O272" s="60"/>
      <c r="P272" s="60"/>
      <c r="Q272" s="60"/>
      <c r="R272" s="60"/>
      <c r="S272" s="70"/>
      <c r="T272" s="70"/>
      <c r="U272" s="70"/>
      <c r="V272" s="70"/>
      <c r="W272" s="70"/>
      <c r="X272" s="70"/>
      <c r="Y272" s="70"/>
      <c r="Z272" s="70"/>
      <c r="AA272" s="70"/>
      <c r="AB272" s="70"/>
      <c r="AC272" s="70"/>
      <c r="AD272" s="136"/>
      <c r="AE272" s="24"/>
      <c r="AF272" s="24"/>
      <c r="AG272" s="73"/>
      <c r="AH272" s="125"/>
      <c r="AI272" s="103"/>
      <c r="AK272" s="113"/>
      <c r="AL272" s="113"/>
      <c r="AM272" s="113"/>
      <c r="AN272" s="113"/>
      <c r="AO272" s="137"/>
      <c r="AP272" s="137"/>
      <c r="AQ272" s="137"/>
      <c r="AR272" s="137"/>
      <c r="AS272" s="137"/>
      <c r="AT272" s="137"/>
      <c r="AU272" s="67"/>
      <c r="AV272" s="44"/>
      <c r="AW272" s="67"/>
      <c r="AX272" s="75"/>
      <c r="AY272" s="123"/>
      <c r="AZ272" s="67"/>
      <c r="BA272" s="138"/>
      <c r="BB272" s="67"/>
      <c r="BC272" s="67"/>
      <c r="BD272" s="67"/>
      <c r="BE272" s="67"/>
      <c r="BF272" s="67"/>
      <c r="BG272" s="67"/>
      <c r="BH272" s="67"/>
      <c r="BI272" s="67"/>
      <c r="BJ272" s="67"/>
      <c r="BK272" s="67"/>
      <c r="BL272" s="67"/>
      <c r="BM272" s="70"/>
      <c r="BN272" s="70"/>
      <c r="BO272" s="70"/>
      <c r="BP272" s="70"/>
      <c r="BQ272" s="70"/>
      <c r="BR272" s="70"/>
      <c r="BS272" s="70"/>
      <c r="BT272" s="70"/>
      <c r="BU272" s="70"/>
      <c r="BV272" s="70"/>
      <c r="BW272" s="70"/>
      <c r="BX272" s="136"/>
      <c r="BY272" s="70"/>
      <c r="BZ272" s="67"/>
      <c r="CA272" s="67"/>
      <c r="CB272" s="67"/>
    </row>
    <row r="273" spans="1:80" s="28" customFormat="1" ht="16" customHeight="1">
      <c r="A273" s="39"/>
      <c r="B273" s="57"/>
      <c r="C273" s="67"/>
      <c r="D273" s="67"/>
      <c r="E273" s="39"/>
      <c r="F273" s="39"/>
      <c r="G273" s="39"/>
      <c r="H273" s="67"/>
      <c r="I273" s="60"/>
      <c r="J273" s="60"/>
      <c r="K273" s="60"/>
      <c r="L273" s="60"/>
      <c r="M273" s="60"/>
      <c r="N273" s="60"/>
      <c r="O273" s="60"/>
      <c r="P273" s="60"/>
      <c r="Q273" s="60"/>
      <c r="R273" s="60"/>
      <c r="S273" s="70"/>
      <c r="T273" s="70"/>
      <c r="U273" s="70"/>
      <c r="V273" s="70"/>
      <c r="W273" s="70"/>
      <c r="X273" s="70"/>
      <c r="Y273" s="70"/>
      <c r="Z273" s="70"/>
      <c r="AA273" s="70"/>
      <c r="AB273" s="70"/>
      <c r="AC273" s="70"/>
      <c r="AD273" s="136"/>
      <c r="AE273" s="24"/>
      <c r="AF273" s="24"/>
      <c r="AG273" s="73"/>
      <c r="AH273" s="125"/>
      <c r="AI273" s="103"/>
      <c r="AK273" s="113"/>
      <c r="AL273" s="113"/>
      <c r="AM273" s="113"/>
      <c r="AN273" s="113"/>
      <c r="AO273" s="137"/>
      <c r="AP273" s="137"/>
      <c r="AQ273" s="137"/>
      <c r="AR273" s="137"/>
      <c r="AS273" s="137"/>
      <c r="AT273" s="137"/>
      <c r="AU273" s="67"/>
      <c r="AV273" s="44"/>
      <c r="AW273" s="67"/>
      <c r="AX273" s="75"/>
      <c r="AY273" s="123"/>
      <c r="AZ273" s="67"/>
      <c r="BA273" s="138"/>
      <c r="BB273" s="67"/>
      <c r="BC273" s="67"/>
      <c r="BD273" s="67"/>
      <c r="BE273" s="67"/>
      <c r="BF273" s="67"/>
      <c r="BG273" s="67"/>
      <c r="BH273" s="67"/>
      <c r="BI273" s="67"/>
      <c r="BJ273" s="67"/>
      <c r="BK273" s="67"/>
      <c r="BL273" s="67"/>
      <c r="BM273" s="70"/>
      <c r="BN273" s="70"/>
      <c r="BO273" s="70"/>
      <c r="BP273" s="70"/>
      <c r="BQ273" s="70"/>
      <c r="BR273" s="70"/>
      <c r="BS273" s="70"/>
      <c r="BT273" s="70"/>
      <c r="BU273" s="70"/>
      <c r="BV273" s="70"/>
      <c r="BW273" s="70"/>
      <c r="BX273" s="136"/>
      <c r="BY273" s="70"/>
      <c r="BZ273" s="67"/>
      <c r="CA273" s="67"/>
      <c r="CB273" s="67"/>
    </row>
    <row r="274" spans="1:80" s="28" customFormat="1" ht="16" customHeight="1">
      <c r="A274" s="39"/>
      <c r="B274" s="57"/>
      <c r="C274" s="67"/>
      <c r="D274" s="67"/>
      <c r="E274" s="39"/>
      <c r="F274" s="39"/>
      <c r="G274" s="39"/>
      <c r="H274" s="67"/>
      <c r="I274" s="60"/>
      <c r="J274" s="60"/>
      <c r="K274" s="60"/>
      <c r="L274" s="60"/>
      <c r="M274" s="60"/>
      <c r="N274" s="60"/>
      <c r="O274" s="60"/>
      <c r="P274" s="60"/>
      <c r="Q274" s="60"/>
      <c r="R274" s="60"/>
      <c r="S274" s="70"/>
      <c r="T274" s="70"/>
      <c r="U274" s="70"/>
      <c r="V274" s="70"/>
      <c r="W274" s="70"/>
      <c r="X274" s="70"/>
      <c r="Y274" s="70"/>
      <c r="Z274" s="70"/>
      <c r="AA274" s="70"/>
      <c r="AB274" s="70"/>
      <c r="AC274" s="70"/>
      <c r="AD274" s="136"/>
      <c r="AE274" s="24"/>
      <c r="AF274" s="24"/>
      <c r="AG274" s="73"/>
      <c r="AH274" s="125"/>
      <c r="AI274" s="103"/>
      <c r="AK274" s="113"/>
      <c r="AL274" s="113"/>
      <c r="AM274" s="113"/>
      <c r="AN274" s="113"/>
      <c r="AO274" s="137"/>
      <c r="AP274" s="137"/>
      <c r="AQ274" s="137"/>
      <c r="AR274" s="137"/>
      <c r="AS274" s="137"/>
      <c r="AT274" s="137"/>
      <c r="AU274" s="67"/>
      <c r="AV274" s="44"/>
      <c r="AW274" s="67"/>
      <c r="AX274" s="75"/>
      <c r="AY274" s="123"/>
      <c r="AZ274" s="67"/>
      <c r="BA274" s="138"/>
      <c r="BB274" s="67"/>
      <c r="BC274" s="67"/>
      <c r="BD274" s="67"/>
      <c r="BE274" s="67"/>
      <c r="BF274" s="67"/>
      <c r="BG274" s="67"/>
      <c r="BH274" s="67"/>
      <c r="BI274" s="67"/>
      <c r="BJ274" s="67"/>
      <c r="BK274" s="67"/>
      <c r="BL274" s="67"/>
      <c r="BM274" s="70"/>
      <c r="BN274" s="70"/>
      <c r="BO274" s="70"/>
      <c r="BP274" s="70"/>
      <c r="BQ274" s="70"/>
      <c r="BR274" s="70"/>
      <c r="BS274" s="70"/>
      <c r="BT274" s="70"/>
      <c r="BU274" s="70"/>
      <c r="BV274" s="70"/>
      <c r="BW274" s="70"/>
      <c r="BX274" s="136"/>
      <c r="BY274" s="70"/>
      <c r="BZ274" s="67"/>
      <c r="CA274" s="67"/>
      <c r="CB274" s="67"/>
    </row>
    <row r="275" spans="1:80" s="28" customFormat="1" ht="16" customHeight="1">
      <c r="A275" s="39"/>
      <c r="B275" s="57"/>
      <c r="C275" s="67"/>
      <c r="D275" s="67"/>
      <c r="E275" s="39"/>
      <c r="F275" s="39"/>
      <c r="G275" s="39"/>
      <c r="H275" s="67"/>
      <c r="I275" s="60"/>
      <c r="J275" s="60"/>
      <c r="K275" s="60"/>
      <c r="L275" s="60"/>
      <c r="M275" s="60"/>
      <c r="N275" s="60"/>
      <c r="O275" s="60"/>
      <c r="P275" s="60"/>
      <c r="Q275" s="60"/>
      <c r="R275" s="60"/>
      <c r="S275" s="70"/>
      <c r="T275" s="70"/>
      <c r="U275" s="70"/>
      <c r="V275" s="70"/>
      <c r="W275" s="70"/>
      <c r="X275" s="70"/>
      <c r="Y275" s="70"/>
      <c r="Z275" s="70"/>
      <c r="AA275" s="70"/>
      <c r="AB275" s="70"/>
      <c r="AC275" s="70"/>
      <c r="AD275" s="136"/>
      <c r="AE275" s="24"/>
      <c r="AF275" s="24"/>
      <c r="AG275" s="73"/>
      <c r="AH275" s="125"/>
      <c r="AI275" s="103"/>
      <c r="AK275" s="113"/>
      <c r="AL275" s="113"/>
      <c r="AM275" s="113"/>
      <c r="AN275" s="113"/>
      <c r="AO275" s="137"/>
      <c r="AP275" s="137"/>
      <c r="AQ275" s="137"/>
      <c r="AR275" s="137"/>
      <c r="AS275" s="137"/>
      <c r="AT275" s="137"/>
      <c r="AU275" s="67"/>
      <c r="AV275" s="44"/>
      <c r="AW275" s="67"/>
      <c r="AX275" s="75"/>
      <c r="AY275" s="123"/>
      <c r="AZ275" s="67"/>
      <c r="BA275" s="138"/>
      <c r="BB275" s="67"/>
      <c r="BC275" s="67"/>
      <c r="BD275" s="67"/>
      <c r="BE275" s="67"/>
      <c r="BF275" s="67"/>
      <c r="BG275" s="67"/>
      <c r="BH275" s="67"/>
      <c r="BI275" s="67"/>
      <c r="BJ275" s="67"/>
      <c r="BK275" s="67"/>
      <c r="BL275" s="67"/>
      <c r="BM275" s="70"/>
      <c r="BN275" s="70"/>
      <c r="BO275" s="70"/>
      <c r="BP275" s="70"/>
      <c r="BQ275" s="70"/>
      <c r="BR275" s="70"/>
      <c r="BS275" s="70"/>
      <c r="BT275" s="70"/>
      <c r="BU275" s="70"/>
      <c r="BV275" s="70"/>
      <c r="BW275" s="70"/>
      <c r="BX275" s="136"/>
      <c r="BY275" s="70"/>
      <c r="BZ275" s="67"/>
      <c r="CA275" s="67"/>
      <c r="CB275" s="67"/>
    </row>
    <row r="276" spans="1:80" s="28" customFormat="1" ht="16" customHeight="1">
      <c r="A276" s="39"/>
      <c r="B276" s="57"/>
      <c r="C276" s="67"/>
      <c r="D276" s="67"/>
      <c r="E276" s="39"/>
      <c r="F276" s="39"/>
      <c r="G276" s="39"/>
      <c r="H276" s="67"/>
      <c r="I276" s="60"/>
      <c r="J276" s="60"/>
      <c r="K276" s="60"/>
      <c r="L276" s="60"/>
      <c r="M276" s="60"/>
      <c r="N276" s="60"/>
      <c r="O276" s="60"/>
      <c r="P276" s="60"/>
      <c r="Q276" s="60"/>
      <c r="R276" s="60"/>
      <c r="S276" s="70"/>
      <c r="T276" s="70"/>
      <c r="U276" s="70"/>
      <c r="V276" s="70"/>
      <c r="W276" s="70"/>
      <c r="X276" s="70"/>
      <c r="Y276" s="70"/>
      <c r="Z276" s="70"/>
      <c r="AA276" s="70"/>
      <c r="AB276" s="70"/>
      <c r="AC276" s="70"/>
      <c r="AD276" s="136"/>
      <c r="AE276" s="24"/>
      <c r="AF276" s="24"/>
      <c r="AG276" s="73"/>
      <c r="AH276" s="125"/>
      <c r="AI276" s="103"/>
      <c r="AK276" s="113"/>
      <c r="AL276" s="113"/>
      <c r="AM276" s="113"/>
      <c r="AN276" s="113"/>
      <c r="AO276" s="137"/>
      <c r="AP276" s="137"/>
      <c r="AQ276" s="137"/>
      <c r="AR276" s="137"/>
      <c r="AS276" s="137"/>
      <c r="AT276" s="137"/>
      <c r="AU276" s="67"/>
      <c r="AV276" s="44"/>
      <c r="AW276" s="67"/>
      <c r="AX276" s="75"/>
      <c r="AY276" s="123"/>
      <c r="AZ276" s="67"/>
      <c r="BA276" s="138"/>
      <c r="BB276" s="67"/>
      <c r="BC276" s="67"/>
      <c r="BD276" s="67"/>
      <c r="BE276" s="67"/>
      <c r="BF276" s="67"/>
      <c r="BG276" s="67"/>
      <c r="BH276" s="67"/>
      <c r="BI276" s="67"/>
      <c r="BJ276" s="67"/>
      <c r="BK276" s="67"/>
      <c r="BL276" s="67"/>
      <c r="BM276" s="70"/>
      <c r="BN276" s="70"/>
      <c r="BO276" s="70"/>
      <c r="BP276" s="70"/>
      <c r="BQ276" s="70"/>
      <c r="BR276" s="70"/>
      <c r="BS276" s="70"/>
      <c r="BT276" s="70"/>
      <c r="BU276" s="70"/>
      <c r="BV276" s="70"/>
      <c r="BW276" s="70"/>
      <c r="BX276" s="136"/>
      <c r="BY276" s="70"/>
      <c r="BZ276" s="67"/>
      <c r="CA276" s="67"/>
      <c r="CB276" s="67"/>
    </row>
    <row r="277" spans="1:80" s="28" customFormat="1" ht="16" customHeight="1">
      <c r="A277" s="39"/>
      <c r="B277" s="57"/>
      <c r="C277" s="67"/>
      <c r="D277" s="67"/>
      <c r="E277" s="39"/>
      <c r="F277" s="39"/>
      <c r="G277" s="39"/>
      <c r="H277" s="67"/>
      <c r="I277" s="60"/>
      <c r="J277" s="60"/>
      <c r="K277" s="60"/>
      <c r="L277" s="60"/>
      <c r="M277" s="60"/>
      <c r="N277" s="60"/>
      <c r="O277" s="60"/>
      <c r="P277" s="60"/>
      <c r="Q277" s="60"/>
      <c r="R277" s="60"/>
      <c r="S277" s="70"/>
      <c r="T277" s="70"/>
      <c r="U277" s="70"/>
      <c r="V277" s="70"/>
      <c r="W277" s="70"/>
      <c r="X277" s="70"/>
      <c r="Y277" s="70"/>
      <c r="Z277" s="70"/>
      <c r="AA277" s="70"/>
      <c r="AB277" s="70"/>
      <c r="AC277" s="70"/>
      <c r="AD277" s="136"/>
      <c r="AE277" s="24"/>
      <c r="AF277" s="24"/>
      <c r="AG277" s="73"/>
      <c r="AH277" s="125"/>
      <c r="AI277" s="103"/>
      <c r="AK277" s="113"/>
      <c r="AL277" s="113"/>
      <c r="AM277" s="113"/>
      <c r="AN277" s="113"/>
      <c r="AO277" s="137"/>
      <c r="AP277" s="137"/>
      <c r="AQ277" s="137"/>
      <c r="AR277" s="137"/>
      <c r="AS277" s="137"/>
      <c r="AT277" s="137"/>
      <c r="AU277" s="67"/>
      <c r="AV277" s="44"/>
      <c r="AW277" s="67"/>
      <c r="AX277" s="75"/>
      <c r="AY277" s="123"/>
      <c r="AZ277" s="67"/>
      <c r="BA277" s="138"/>
      <c r="BB277" s="67"/>
      <c r="BC277" s="67"/>
      <c r="BD277" s="67"/>
      <c r="BE277" s="67"/>
      <c r="BF277" s="67"/>
      <c r="BG277" s="67"/>
      <c r="BH277" s="67"/>
      <c r="BI277" s="67"/>
      <c r="BJ277" s="67"/>
      <c r="BK277" s="67"/>
      <c r="BL277" s="67"/>
      <c r="BM277" s="70"/>
      <c r="BN277" s="70"/>
      <c r="BO277" s="70"/>
      <c r="BP277" s="70"/>
      <c r="BQ277" s="70"/>
      <c r="BR277" s="70"/>
      <c r="BS277" s="70"/>
      <c r="BT277" s="70"/>
      <c r="BU277" s="70"/>
      <c r="BV277" s="70"/>
      <c r="BW277" s="70"/>
      <c r="BX277" s="136"/>
      <c r="BY277" s="70"/>
      <c r="BZ277" s="67"/>
      <c r="CA277" s="67"/>
      <c r="CB277" s="67"/>
    </row>
    <row r="278" spans="1:80" s="28" customFormat="1" ht="16" customHeight="1">
      <c r="A278" s="39"/>
      <c r="B278" s="57"/>
      <c r="C278" s="67"/>
      <c r="D278" s="67"/>
      <c r="E278" s="39"/>
      <c r="F278" s="39"/>
      <c r="G278" s="39"/>
      <c r="H278" s="67"/>
      <c r="I278" s="60"/>
      <c r="J278" s="60"/>
      <c r="K278" s="60"/>
      <c r="L278" s="60"/>
      <c r="M278" s="60"/>
      <c r="N278" s="60"/>
      <c r="O278" s="60"/>
      <c r="P278" s="60"/>
      <c r="Q278" s="60"/>
      <c r="R278" s="60"/>
      <c r="S278" s="70"/>
      <c r="T278" s="70"/>
      <c r="U278" s="70"/>
      <c r="V278" s="70"/>
      <c r="W278" s="70"/>
      <c r="X278" s="70"/>
      <c r="Y278" s="70"/>
      <c r="Z278" s="70"/>
      <c r="AA278" s="70"/>
      <c r="AB278" s="70"/>
      <c r="AC278" s="70"/>
      <c r="AD278" s="136"/>
      <c r="AE278" s="24"/>
      <c r="AF278" s="24"/>
      <c r="AG278" s="73"/>
      <c r="AH278" s="125"/>
      <c r="AI278" s="103"/>
      <c r="AK278" s="113"/>
      <c r="AL278" s="113"/>
      <c r="AM278" s="113"/>
      <c r="AN278" s="113"/>
      <c r="AO278" s="137"/>
      <c r="AP278" s="137"/>
      <c r="AQ278" s="137"/>
      <c r="AR278" s="137"/>
      <c r="AS278" s="137"/>
      <c r="AT278" s="137"/>
      <c r="AU278" s="67"/>
      <c r="AV278" s="44"/>
      <c r="AW278" s="67"/>
      <c r="AX278" s="75"/>
      <c r="AY278" s="123"/>
      <c r="AZ278" s="67"/>
      <c r="BA278" s="138"/>
      <c r="BB278" s="67"/>
      <c r="BC278" s="67"/>
      <c r="BD278" s="67"/>
      <c r="BE278" s="67"/>
      <c r="BF278" s="67"/>
      <c r="BG278" s="67"/>
      <c r="BH278" s="67"/>
      <c r="BI278" s="67"/>
      <c r="BJ278" s="67"/>
      <c r="BK278" s="67"/>
      <c r="BL278" s="67"/>
      <c r="BM278" s="70"/>
      <c r="BN278" s="70"/>
      <c r="BO278" s="70"/>
      <c r="BP278" s="70"/>
      <c r="BQ278" s="70"/>
      <c r="BR278" s="70"/>
      <c r="BS278" s="70"/>
      <c r="BT278" s="70"/>
      <c r="BU278" s="70"/>
      <c r="BV278" s="70"/>
      <c r="BW278" s="70"/>
      <c r="BX278" s="136"/>
      <c r="BY278" s="70"/>
      <c r="BZ278" s="67"/>
      <c r="CA278" s="67"/>
      <c r="CB278" s="67"/>
    </row>
    <row r="279" spans="1:80" s="28" customFormat="1" ht="16" customHeight="1">
      <c r="A279" s="39"/>
      <c r="B279" s="57"/>
      <c r="C279" s="67"/>
      <c r="D279" s="67"/>
      <c r="E279" s="39"/>
      <c r="F279" s="39"/>
      <c r="G279" s="39"/>
      <c r="H279" s="67"/>
      <c r="I279" s="60"/>
      <c r="J279" s="60"/>
      <c r="K279" s="60"/>
      <c r="L279" s="60"/>
      <c r="M279" s="60"/>
      <c r="N279" s="60"/>
      <c r="O279" s="60"/>
      <c r="P279" s="60"/>
      <c r="Q279" s="60"/>
      <c r="R279" s="60"/>
      <c r="S279" s="70"/>
      <c r="T279" s="70"/>
      <c r="U279" s="70"/>
      <c r="V279" s="70"/>
      <c r="W279" s="70"/>
      <c r="X279" s="70"/>
      <c r="Y279" s="70"/>
      <c r="Z279" s="70"/>
      <c r="AA279" s="70"/>
      <c r="AB279" s="70"/>
      <c r="AC279" s="70"/>
      <c r="AD279" s="136"/>
      <c r="AE279" s="24"/>
      <c r="AF279" s="24"/>
      <c r="AG279" s="73"/>
      <c r="AH279" s="125"/>
      <c r="AI279" s="103"/>
      <c r="AK279" s="113"/>
      <c r="AL279" s="113"/>
      <c r="AM279" s="113"/>
      <c r="AN279" s="113"/>
      <c r="AO279" s="137"/>
      <c r="AP279" s="137"/>
      <c r="AQ279" s="137"/>
      <c r="AR279" s="137"/>
      <c r="AS279" s="137"/>
      <c r="AT279" s="137"/>
      <c r="AU279" s="67"/>
      <c r="AV279" s="44"/>
      <c r="AW279" s="67"/>
      <c r="AX279" s="75"/>
      <c r="AY279" s="123"/>
      <c r="AZ279" s="67"/>
      <c r="BA279" s="138"/>
      <c r="BB279" s="67"/>
      <c r="BC279" s="67"/>
      <c r="BD279" s="67"/>
      <c r="BE279" s="67"/>
      <c r="BF279" s="67"/>
      <c r="BG279" s="67"/>
      <c r="BH279" s="67"/>
      <c r="BI279" s="67"/>
      <c r="BJ279" s="67"/>
      <c r="BK279" s="67"/>
      <c r="BL279" s="67"/>
      <c r="BM279" s="70"/>
      <c r="BN279" s="70"/>
      <c r="BO279" s="70"/>
      <c r="BP279" s="70"/>
      <c r="BQ279" s="70"/>
      <c r="BR279" s="70"/>
      <c r="BS279" s="70"/>
      <c r="BT279" s="70"/>
      <c r="BU279" s="70"/>
      <c r="BV279" s="70"/>
      <c r="BW279" s="70"/>
      <c r="BX279" s="136"/>
      <c r="BY279" s="70"/>
      <c r="BZ279" s="67"/>
      <c r="CA279" s="67"/>
      <c r="CB279" s="67"/>
    </row>
    <row r="280" spans="1:80" s="28" customFormat="1" ht="16" customHeight="1">
      <c r="A280" s="39"/>
      <c r="B280" s="57"/>
      <c r="C280" s="67"/>
      <c r="D280" s="67"/>
      <c r="E280" s="39"/>
      <c r="F280" s="39"/>
      <c r="G280" s="39"/>
      <c r="H280" s="67"/>
      <c r="I280" s="60"/>
      <c r="J280" s="60"/>
      <c r="K280" s="60"/>
      <c r="L280" s="60"/>
      <c r="M280" s="60"/>
      <c r="N280" s="60"/>
      <c r="O280" s="60"/>
      <c r="P280" s="60"/>
      <c r="Q280" s="60"/>
      <c r="R280" s="60"/>
      <c r="S280" s="70"/>
      <c r="T280" s="70"/>
      <c r="U280" s="70"/>
      <c r="V280" s="70"/>
      <c r="W280" s="70"/>
      <c r="X280" s="70"/>
      <c r="Y280" s="70"/>
      <c r="Z280" s="70"/>
      <c r="AA280" s="70"/>
      <c r="AB280" s="70"/>
      <c r="AC280" s="70"/>
      <c r="AD280" s="136"/>
      <c r="AE280" s="24"/>
      <c r="AF280" s="24"/>
      <c r="AG280" s="73"/>
      <c r="AH280" s="125"/>
      <c r="AI280" s="103"/>
      <c r="AK280" s="113"/>
      <c r="AL280" s="113"/>
      <c r="AM280" s="113"/>
      <c r="AN280" s="113"/>
      <c r="AO280" s="137"/>
      <c r="AP280" s="137"/>
      <c r="AQ280" s="137"/>
      <c r="AR280" s="137"/>
      <c r="AS280" s="137"/>
      <c r="AT280" s="137"/>
      <c r="AU280" s="67"/>
      <c r="AV280" s="44"/>
      <c r="AW280" s="67"/>
      <c r="AX280" s="75"/>
      <c r="AY280" s="123"/>
      <c r="AZ280" s="67"/>
      <c r="BA280" s="138"/>
      <c r="BB280" s="67"/>
      <c r="BC280" s="67"/>
      <c r="BD280" s="67"/>
      <c r="BE280" s="67"/>
      <c r="BF280" s="67"/>
      <c r="BG280" s="67"/>
      <c r="BH280" s="67"/>
      <c r="BI280" s="67"/>
      <c r="BJ280" s="67"/>
      <c r="BK280" s="67"/>
      <c r="BL280" s="67"/>
      <c r="BM280" s="70"/>
      <c r="BN280" s="70"/>
      <c r="BO280" s="70"/>
      <c r="BP280" s="70"/>
      <c r="BQ280" s="70"/>
      <c r="BR280" s="70"/>
      <c r="BS280" s="70"/>
      <c r="BT280" s="70"/>
      <c r="BU280" s="70"/>
      <c r="BV280" s="70"/>
      <c r="BW280" s="70"/>
      <c r="BX280" s="136"/>
      <c r="BY280" s="70"/>
      <c r="BZ280" s="67"/>
      <c r="CA280" s="67"/>
      <c r="CB280" s="67"/>
    </row>
    <row r="281" spans="1:80" s="28" customFormat="1" ht="16" customHeight="1">
      <c r="A281" s="39"/>
      <c r="B281" s="57"/>
      <c r="C281" s="67"/>
      <c r="D281" s="67"/>
      <c r="E281" s="39"/>
      <c r="F281" s="39"/>
      <c r="G281" s="39"/>
      <c r="H281" s="67"/>
      <c r="I281" s="60"/>
      <c r="J281" s="60"/>
      <c r="K281" s="60"/>
      <c r="L281" s="60"/>
      <c r="M281" s="60"/>
      <c r="N281" s="60"/>
      <c r="O281" s="60"/>
      <c r="P281" s="60"/>
      <c r="Q281" s="60"/>
      <c r="R281" s="60"/>
      <c r="S281" s="70"/>
      <c r="T281" s="70"/>
      <c r="U281" s="70"/>
      <c r="V281" s="70"/>
      <c r="W281" s="70"/>
      <c r="X281" s="70"/>
      <c r="Y281" s="70"/>
      <c r="Z281" s="70"/>
      <c r="AA281" s="70"/>
      <c r="AB281" s="70"/>
      <c r="AC281" s="70"/>
      <c r="AD281" s="136"/>
      <c r="AE281" s="24"/>
      <c r="AF281" s="24"/>
      <c r="AG281" s="73"/>
      <c r="AH281" s="125"/>
      <c r="AI281" s="103"/>
      <c r="AK281" s="113"/>
      <c r="AL281" s="113"/>
      <c r="AM281" s="113"/>
      <c r="AN281" s="113"/>
      <c r="AO281" s="137"/>
      <c r="AP281" s="137"/>
      <c r="AQ281" s="137"/>
      <c r="AR281" s="137"/>
      <c r="AS281" s="137"/>
      <c r="AT281" s="137"/>
      <c r="AU281" s="67"/>
      <c r="AV281" s="44"/>
      <c r="AW281" s="67"/>
      <c r="AX281" s="75"/>
      <c r="AY281" s="123"/>
      <c r="AZ281" s="67"/>
      <c r="BA281" s="138"/>
      <c r="BB281" s="67"/>
      <c r="BC281" s="67"/>
      <c r="BD281" s="67"/>
      <c r="BE281" s="67"/>
      <c r="BF281" s="67"/>
      <c r="BG281" s="67"/>
      <c r="BH281" s="67"/>
      <c r="BI281" s="67"/>
      <c r="BJ281" s="67"/>
      <c r="BK281" s="67"/>
      <c r="BL281" s="67"/>
      <c r="BM281" s="70"/>
      <c r="BN281" s="70"/>
      <c r="BO281" s="70"/>
      <c r="BP281" s="70"/>
      <c r="BQ281" s="70"/>
      <c r="BR281" s="70"/>
      <c r="BS281" s="70"/>
      <c r="BT281" s="70"/>
      <c r="BU281" s="70"/>
      <c r="BV281" s="70"/>
      <c r="BW281" s="70"/>
      <c r="BX281" s="136"/>
      <c r="BY281" s="70"/>
      <c r="BZ281" s="67"/>
      <c r="CA281" s="67"/>
      <c r="CB281" s="67"/>
    </row>
    <row r="282" spans="1:80" s="28" customFormat="1" ht="16" customHeight="1">
      <c r="A282" s="39"/>
      <c r="B282" s="57"/>
      <c r="C282" s="67"/>
      <c r="D282" s="67"/>
      <c r="E282" s="39"/>
      <c r="F282" s="39"/>
      <c r="G282" s="39"/>
      <c r="H282" s="67"/>
      <c r="I282" s="60"/>
      <c r="J282" s="60"/>
      <c r="K282" s="60"/>
      <c r="L282" s="60"/>
      <c r="M282" s="60"/>
      <c r="N282" s="60"/>
      <c r="O282" s="60"/>
      <c r="P282" s="60"/>
      <c r="Q282" s="60"/>
      <c r="R282" s="60"/>
      <c r="S282" s="70"/>
      <c r="T282" s="70"/>
      <c r="U282" s="70"/>
      <c r="V282" s="70"/>
      <c r="W282" s="70"/>
      <c r="X282" s="70"/>
      <c r="Y282" s="70"/>
      <c r="Z282" s="70"/>
      <c r="AA282" s="70"/>
      <c r="AB282" s="70"/>
      <c r="AC282" s="70"/>
      <c r="AD282" s="136"/>
      <c r="AE282" s="24"/>
      <c r="AF282" s="24"/>
      <c r="AG282" s="73"/>
      <c r="AH282" s="125"/>
      <c r="AI282" s="103"/>
      <c r="AK282" s="113"/>
      <c r="AL282" s="113"/>
      <c r="AM282" s="113"/>
      <c r="AN282" s="113"/>
      <c r="AO282" s="137"/>
      <c r="AP282" s="137"/>
      <c r="AQ282" s="137"/>
      <c r="AR282" s="137"/>
      <c r="AS282" s="137"/>
      <c r="AT282" s="137"/>
      <c r="AU282" s="67"/>
      <c r="AV282" s="44"/>
      <c r="AW282" s="67"/>
      <c r="AX282" s="75"/>
      <c r="AY282" s="123"/>
      <c r="AZ282" s="67"/>
      <c r="BA282" s="138"/>
      <c r="BB282" s="67"/>
      <c r="BC282" s="67"/>
      <c r="BD282" s="67"/>
      <c r="BE282" s="67"/>
      <c r="BF282" s="67"/>
      <c r="BG282" s="67"/>
      <c r="BH282" s="67"/>
      <c r="BI282" s="67"/>
      <c r="BJ282" s="67"/>
      <c r="BK282" s="67"/>
      <c r="BL282" s="67"/>
      <c r="BM282" s="70"/>
      <c r="BN282" s="70"/>
      <c r="BO282" s="70"/>
      <c r="BP282" s="70"/>
      <c r="BQ282" s="70"/>
      <c r="BR282" s="70"/>
      <c r="BS282" s="70"/>
      <c r="BT282" s="70"/>
      <c r="BU282" s="70"/>
      <c r="BV282" s="70"/>
      <c r="BW282" s="70"/>
      <c r="BX282" s="136"/>
      <c r="BY282" s="70"/>
      <c r="BZ282" s="67"/>
      <c r="CA282" s="67"/>
      <c r="CB282" s="67"/>
    </row>
    <row r="283" spans="1:80" s="28" customFormat="1" ht="16" customHeight="1">
      <c r="A283" s="39"/>
      <c r="B283" s="57"/>
      <c r="C283" s="67"/>
      <c r="D283" s="67"/>
      <c r="E283" s="39"/>
      <c r="F283" s="39"/>
      <c r="G283" s="39"/>
      <c r="H283" s="67"/>
      <c r="I283" s="60"/>
      <c r="J283" s="60"/>
      <c r="K283" s="60"/>
      <c r="L283" s="60"/>
      <c r="M283" s="60"/>
      <c r="N283" s="60"/>
      <c r="O283" s="60"/>
      <c r="P283" s="60"/>
      <c r="Q283" s="60"/>
      <c r="R283" s="60"/>
      <c r="S283" s="70"/>
      <c r="T283" s="70"/>
      <c r="U283" s="70"/>
      <c r="V283" s="70"/>
      <c r="W283" s="70"/>
      <c r="X283" s="70"/>
      <c r="Y283" s="70"/>
      <c r="Z283" s="70"/>
      <c r="AA283" s="70"/>
      <c r="AB283" s="70"/>
      <c r="AC283" s="70"/>
      <c r="AD283" s="136"/>
      <c r="AE283" s="24"/>
      <c r="AF283" s="24"/>
      <c r="AG283" s="73"/>
      <c r="AH283" s="125"/>
      <c r="AI283" s="103"/>
      <c r="AK283" s="113"/>
      <c r="AL283" s="113"/>
      <c r="AM283" s="113"/>
      <c r="AN283" s="113"/>
      <c r="AO283" s="137"/>
      <c r="AP283" s="137"/>
      <c r="AQ283" s="137"/>
      <c r="AR283" s="137"/>
      <c r="AS283" s="137"/>
      <c r="AT283" s="137"/>
      <c r="AU283" s="67"/>
      <c r="AV283" s="44"/>
      <c r="AW283" s="67"/>
      <c r="AX283" s="75"/>
      <c r="AY283" s="123"/>
      <c r="AZ283" s="67"/>
      <c r="BA283" s="138"/>
      <c r="BB283" s="67"/>
      <c r="BC283" s="67"/>
      <c r="BD283" s="67"/>
      <c r="BE283" s="67"/>
      <c r="BF283" s="67"/>
      <c r="BG283" s="67"/>
      <c r="BH283" s="67"/>
      <c r="BI283" s="67"/>
      <c r="BJ283" s="67"/>
      <c r="BK283" s="67"/>
      <c r="BL283" s="67"/>
      <c r="BM283" s="70"/>
      <c r="BN283" s="70"/>
      <c r="BO283" s="70"/>
      <c r="BP283" s="70"/>
      <c r="BQ283" s="70"/>
      <c r="BR283" s="70"/>
      <c r="BS283" s="70"/>
      <c r="BT283" s="70"/>
      <c r="BU283" s="70"/>
      <c r="BV283" s="70"/>
      <c r="BW283" s="70"/>
      <c r="BX283" s="136"/>
      <c r="BY283" s="70"/>
      <c r="BZ283" s="67"/>
      <c r="CA283" s="67"/>
      <c r="CB283" s="67"/>
    </row>
    <row r="284" spans="1:80" s="28" customFormat="1" ht="16" customHeight="1">
      <c r="A284" s="39"/>
      <c r="B284" s="57"/>
      <c r="C284" s="67"/>
      <c r="D284" s="67"/>
      <c r="E284" s="39"/>
      <c r="F284" s="39"/>
      <c r="G284" s="39"/>
      <c r="H284" s="67"/>
      <c r="I284" s="60"/>
      <c r="J284" s="60"/>
      <c r="K284" s="60"/>
      <c r="L284" s="60"/>
      <c r="M284" s="60"/>
      <c r="N284" s="60"/>
      <c r="O284" s="60"/>
      <c r="P284" s="60"/>
      <c r="Q284" s="60"/>
      <c r="R284" s="60"/>
      <c r="S284" s="70"/>
      <c r="T284" s="70"/>
      <c r="U284" s="70"/>
      <c r="V284" s="70"/>
      <c r="W284" s="70"/>
      <c r="X284" s="70"/>
      <c r="Y284" s="70"/>
      <c r="Z284" s="70"/>
      <c r="AA284" s="70"/>
      <c r="AB284" s="70"/>
      <c r="AC284" s="70"/>
      <c r="AD284" s="136"/>
      <c r="AE284" s="24"/>
      <c r="AF284" s="24"/>
      <c r="AG284" s="73"/>
      <c r="AH284" s="125"/>
      <c r="AI284" s="103"/>
      <c r="AK284" s="113"/>
      <c r="AL284" s="113"/>
      <c r="AM284" s="113"/>
      <c r="AN284" s="113"/>
      <c r="AO284" s="137"/>
      <c r="AP284" s="137"/>
      <c r="AQ284" s="137"/>
      <c r="AR284" s="137"/>
      <c r="AS284" s="137"/>
      <c r="AT284" s="137"/>
      <c r="AU284" s="67"/>
      <c r="AV284" s="44"/>
      <c r="AW284" s="67"/>
      <c r="AX284" s="75"/>
      <c r="AY284" s="123"/>
      <c r="AZ284" s="67"/>
      <c r="BA284" s="138"/>
      <c r="BB284" s="67"/>
      <c r="BC284" s="67"/>
      <c r="BD284" s="67"/>
      <c r="BE284" s="67"/>
      <c r="BF284" s="67"/>
      <c r="BG284" s="67"/>
      <c r="BH284" s="67"/>
      <c r="BI284" s="67"/>
      <c r="BJ284" s="67"/>
      <c r="BK284" s="67"/>
      <c r="BL284" s="67"/>
      <c r="BM284" s="70"/>
      <c r="BN284" s="70"/>
      <c r="BO284" s="70"/>
      <c r="BP284" s="70"/>
      <c r="BQ284" s="70"/>
      <c r="BR284" s="70"/>
      <c r="BS284" s="70"/>
      <c r="BT284" s="70"/>
      <c r="BU284" s="70"/>
      <c r="BV284" s="70"/>
      <c r="BW284" s="70"/>
      <c r="BX284" s="136"/>
      <c r="BY284" s="70"/>
      <c r="BZ284" s="67"/>
      <c r="CA284" s="67"/>
      <c r="CB284" s="67"/>
    </row>
    <row r="285" spans="1:80" s="28" customFormat="1" ht="16" customHeight="1">
      <c r="A285" s="39"/>
      <c r="B285" s="57"/>
      <c r="C285" s="67"/>
      <c r="D285" s="67"/>
      <c r="E285" s="39"/>
      <c r="F285" s="39"/>
      <c r="G285" s="39"/>
      <c r="H285" s="67"/>
      <c r="I285" s="60"/>
      <c r="J285" s="60"/>
      <c r="K285" s="60"/>
      <c r="L285" s="60"/>
      <c r="M285" s="60"/>
      <c r="N285" s="60"/>
      <c r="O285" s="60"/>
      <c r="P285" s="60"/>
      <c r="Q285" s="60"/>
      <c r="R285" s="60"/>
      <c r="S285" s="70"/>
      <c r="T285" s="70"/>
      <c r="U285" s="70"/>
      <c r="V285" s="70"/>
      <c r="W285" s="70"/>
      <c r="X285" s="70"/>
      <c r="Y285" s="70"/>
      <c r="Z285" s="70"/>
      <c r="AA285" s="70"/>
      <c r="AB285" s="70"/>
      <c r="AC285" s="70"/>
      <c r="AD285" s="136"/>
      <c r="AE285" s="24"/>
      <c r="AF285" s="24"/>
      <c r="AG285" s="73"/>
      <c r="AH285" s="125"/>
      <c r="AI285" s="103"/>
      <c r="AK285" s="113"/>
      <c r="AL285" s="113"/>
      <c r="AM285" s="113"/>
      <c r="AN285" s="113"/>
      <c r="AO285" s="137"/>
      <c r="AP285" s="137"/>
      <c r="AQ285" s="137"/>
      <c r="AR285" s="137"/>
      <c r="AS285" s="137"/>
      <c r="AT285" s="137"/>
      <c r="AU285" s="67"/>
      <c r="AV285" s="44"/>
      <c r="AW285" s="67"/>
      <c r="AX285" s="75"/>
      <c r="AY285" s="123"/>
      <c r="AZ285" s="67"/>
      <c r="BA285" s="138"/>
      <c r="BB285" s="67"/>
      <c r="BC285" s="67"/>
      <c r="BD285" s="67"/>
      <c r="BE285" s="67"/>
      <c r="BF285" s="67"/>
      <c r="BG285" s="67"/>
      <c r="BH285" s="67"/>
      <c r="BI285" s="67"/>
      <c r="BJ285" s="67"/>
      <c r="BK285" s="67"/>
      <c r="BL285" s="67"/>
      <c r="BM285" s="70"/>
      <c r="BN285" s="70"/>
      <c r="BO285" s="70"/>
      <c r="BP285" s="70"/>
      <c r="BQ285" s="70"/>
      <c r="BR285" s="70"/>
      <c r="BS285" s="70"/>
      <c r="BT285" s="70"/>
      <c r="BU285" s="70"/>
      <c r="BV285" s="70"/>
      <c r="BW285" s="70"/>
      <c r="BX285" s="136"/>
      <c r="BY285" s="70"/>
      <c r="BZ285" s="67"/>
      <c r="CA285" s="67"/>
      <c r="CB285" s="67"/>
    </row>
    <row r="286" spans="1:80" s="28" customFormat="1" ht="16" customHeight="1">
      <c r="A286" s="39"/>
      <c r="B286" s="57"/>
      <c r="C286" s="67"/>
      <c r="D286" s="67"/>
      <c r="E286" s="39"/>
      <c r="F286" s="39"/>
      <c r="G286" s="39"/>
      <c r="H286" s="67"/>
      <c r="I286" s="60"/>
      <c r="J286" s="60"/>
      <c r="K286" s="60"/>
      <c r="L286" s="60"/>
      <c r="M286" s="60"/>
      <c r="N286" s="60"/>
      <c r="O286" s="60"/>
      <c r="P286" s="60"/>
      <c r="Q286" s="60"/>
      <c r="R286" s="60"/>
      <c r="S286" s="70"/>
      <c r="T286" s="70"/>
      <c r="U286" s="70"/>
      <c r="V286" s="70"/>
      <c r="W286" s="70"/>
      <c r="X286" s="70"/>
      <c r="Y286" s="70"/>
      <c r="Z286" s="70"/>
      <c r="AA286" s="70"/>
      <c r="AB286" s="70"/>
      <c r="AC286" s="70"/>
      <c r="AD286" s="136"/>
      <c r="AE286" s="24"/>
      <c r="AF286" s="24"/>
      <c r="AG286" s="73"/>
      <c r="AH286" s="125"/>
      <c r="AI286" s="103"/>
      <c r="AK286" s="113"/>
      <c r="AL286" s="113"/>
      <c r="AM286" s="113"/>
      <c r="AN286" s="113"/>
      <c r="AO286" s="137"/>
      <c r="AP286" s="137"/>
      <c r="AQ286" s="137"/>
      <c r="AR286" s="137"/>
      <c r="AS286" s="137"/>
      <c r="AT286" s="137"/>
      <c r="AU286" s="67"/>
      <c r="AV286" s="44"/>
      <c r="AW286" s="67"/>
      <c r="AX286" s="75"/>
      <c r="AY286" s="123"/>
      <c r="AZ286" s="67"/>
      <c r="BA286" s="138"/>
      <c r="BB286" s="67"/>
      <c r="BC286" s="67"/>
      <c r="BD286" s="67"/>
      <c r="BE286" s="67"/>
      <c r="BF286" s="67"/>
      <c r="BG286" s="67"/>
      <c r="BH286" s="67"/>
      <c r="BI286" s="67"/>
      <c r="BJ286" s="67"/>
      <c r="BK286" s="67"/>
      <c r="BL286" s="67"/>
      <c r="BM286" s="70"/>
      <c r="BN286" s="70"/>
      <c r="BO286" s="70"/>
      <c r="BP286" s="70"/>
      <c r="BQ286" s="70"/>
      <c r="BR286" s="70"/>
      <c r="BS286" s="70"/>
      <c r="BT286" s="70"/>
      <c r="BU286" s="70"/>
      <c r="BV286" s="70"/>
      <c r="BW286" s="70"/>
      <c r="BX286" s="136"/>
      <c r="BY286" s="70"/>
      <c r="BZ286" s="67"/>
      <c r="CA286" s="67"/>
      <c r="CB286" s="67"/>
    </row>
    <row r="287" spans="1:80" s="28" customFormat="1" ht="16" customHeight="1">
      <c r="A287" s="39"/>
      <c r="B287" s="57"/>
      <c r="C287" s="67"/>
      <c r="D287" s="67"/>
      <c r="E287" s="39"/>
      <c r="F287" s="39"/>
      <c r="G287" s="39"/>
      <c r="H287" s="67"/>
      <c r="I287" s="60"/>
      <c r="J287" s="60"/>
      <c r="K287" s="60"/>
      <c r="L287" s="60"/>
      <c r="M287" s="60"/>
      <c r="N287" s="60"/>
      <c r="O287" s="60"/>
      <c r="P287" s="60"/>
      <c r="Q287" s="60"/>
      <c r="R287" s="60"/>
      <c r="S287" s="70"/>
      <c r="T287" s="70"/>
      <c r="U287" s="70"/>
      <c r="V287" s="70"/>
      <c r="W287" s="70"/>
      <c r="X287" s="70"/>
      <c r="Y287" s="70"/>
      <c r="Z287" s="70"/>
      <c r="AA287" s="70"/>
      <c r="AB287" s="70"/>
      <c r="AC287" s="70"/>
      <c r="AD287" s="136"/>
      <c r="AE287" s="24"/>
      <c r="AF287" s="24"/>
      <c r="AG287" s="73"/>
      <c r="AH287" s="125"/>
      <c r="AI287" s="103"/>
      <c r="AK287" s="113"/>
      <c r="AL287" s="113"/>
      <c r="AM287" s="113"/>
      <c r="AN287" s="113"/>
      <c r="AO287" s="137"/>
      <c r="AP287" s="137"/>
      <c r="AQ287" s="137"/>
      <c r="AR287" s="137"/>
      <c r="AS287" s="137"/>
      <c r="AT287" s="137"/>
      <c r="AU287" s="67"/>
      <c r="AV287" s="44"/>
      <c r="AW287" s="67"/>
      <c r="AX287" s="75"/>
      <c r="AY287" s="123"/>
      <c r="AZ287" s="67"/>
      <c r="BA287" s="138"/>
      <c r="BB287" s="67"/>
      <c r="BC287" s="67"/>
      <c r="BD287" s="67"/>
      <c r="BE287" s="67"/>
      <c r="BF287" s="67"/>
      <c r="BG287" s="67"/>
      <c r="BH287" s="67"/>
      <c r="BI287" s="67"/>
      <c r="BJ287" s="67"/>
      <c r="BK287" s="67"/>
      <c r="BL287" s="67"/>
      <c r="BM287" s="70"/>
      <c r="BN287" s="70"/>
      <c r="BO287" s="70"/>
      <c r="BP287" s="70"/>
      <c r="BQ287" s="70"/>
      <c r="BR287" s="70"/>
      <c r="BS287" s="70"/>
      <c r="BT287" s="70"/>
      <c r="BU287" s="70"/>
      <c r="BV287" s="70"/>
      <c r="BW287" s="70"/>
      <c r="BX287" s="136"/>
      <c r="BY287" s="70"/>
      <c r="BZ287" s="67"/>
      <c r="CA287" s="67"/>
      <c r="CB287" s="67"/>
    </row>
    <row r="288" spans="1:80" s="28" customFormat="1" ht="16" customHeight="1">
      <c r="A288" s="39"/>
      <c r="B288" s="57"/>
      <c r="C288" s="67"/>
      <c r="D288" s="67"/>
      <c r="E288" s="39"/>
      <c r="F288" s="39"/>
      <c r="G288" s="39"/>
      <c r="H288" s="67"/>
      <c r="I288" s="60"/>
      <c r="J288" s="60"/>
      <c r="K288" s="60"/>
      <c r="L288" s="60"/>
      <c r="M288" s="60"/>
      <c r="N288" s="60"/>
      <c r="O288" s="60"/>
      <c r="P288" s="60"/>
      <c r="Q288" s="60"/>
      <c r="R288" s="60"/>
      <c r="S288" s="70"/>
      <c r="T288" s="70"/>
      <c r="U288" s="70"/>
      <c r="V288" s="70"/>
      <c r="W288" s="70"/>
      <c r="X288" s="70"/>
      <c r="Y288" s="70"/>
      <c r="Z288" s="70"/>
      <c r="AA288" s="70"/>
      <c r="AB288" s="70"/>
      <c r="AC288" s="70"/>
      <c r="AD288" s="136"/>
      <c r="AE288" s="24"/>
      <c r="AF288" s="24"/>
      <c r="AG288" s="73"/>
      <c r="AH288" s="125"/>
      <c r="AI288" s="103"/>
      <c r="AK288" s="113"/>
      <c r="AL288" s="113"/>
      <c r="AM288" s="113"/>
      <c r="AN288" s="113"/>
      <c r="AO288" s="137"/>
      <c r="AP288" s="137"/>
      <c r="AQ288" s="137"/>
      <c r="AR288" s="137"/>
      <c r="AS288" s="137"/>
      <c r="AT288" s="137"/>
      <c r="AU288" s="67"/>
      <c r="AV288" s="44"/>
      <c r="AW288" s="67"/>
      <c r="AX288" s="75"/>
      <c r="AY288" s="123"/>
      <c r="AZ288" s="67"/>
      <c r="BA288" s="138"/>
      <c r="BB288" s="67"/>
      <c r="BC288" s="67"/>
      <c r="BD288" s="67"/>
      <c r="BE288" s="67"/>
      <c r="BF288" s="67"/>
      <c r="BG288" s="67"/>
      <c r="BH288" s="67"/>
      <c r="BI288" s="67"/>
      <c r="BJ288" s="67"/>
      <c r="BK288" s="67"/>
      <c r="BL288" s="67"/>
      <c r="BM288" s="70"/>
      <c r="BN288" s="70"/>
      <c r="BO288" s="70"/>
      <c r="BP288" s="70"/>
      <c r="BQ288" s="70"/>
      <c r="BR288" s="70"/>
      <c r="BS288" s="70"/>
      <c r="BT288" s="70"/>
      <c r="BU288" s="70"/>
      <c r="BV288" s="70"/>
      <c r="BW288" s="70"/>
      <c r="BX288" s="136"/>
      <c r="BY288" s="70"/>
      <c r="BZ288" s="67"/>
      <c r="CA288" s="67"/>
      <c r="CB288" s="67"/>
    </row>
    <row r="289" spans="1:80" s="28" customFormat="1" ht="16" customHeight="1">
      <c r="A289" s="39"/>
      <c r="B289" s="57"/>
      <c r="C289" s="67"/>
      <c r="D289" s="67"/>
      <c r="E289" s="39"/>
      <c r="F289" s="39"/>
      <c r="G289" s="39"/>
      <c r="H289" s="67"/>
      <c r="I289" s="60"/>
      <c r="J289" s="60"/>
      <c r="K289" s="60"/>
      <c r="L289" s="60"/>
      <c r="M289" s="60"/>
      <c r="N289" s="60"/>
      <c r="O289" s="60"/>
      <c r="P289" s="60"/>
      <c r="Q289" s="60"/>
      <c r="R289" s="60"/>
      <c r="S289" s="70"/>
      <c r="T289" s="70"/>
      <c r="U289" s="70"/>
      <c r="V289" s="70"/>
      <c r="W289" s="70"/>
      <c r="X289" s="70"/>
      <c r="Y289" s="70"/>
      <c r="Z289" s="70"/>
      <c r="AA289" s="70"/>
      <c r="AB289" s="70"/>
      <c r="AC289" s="70"/>
      <c r="AD289" s="136"/>
      <c r="AE289" s="24"/>
      <c r="AF289" s="24"/>
      <c r="AG289" s="73"/>
      <c r="AH289" s="125"/>
      <c r="AI289" s="103"/>
      <c r="AK289" s="113"/>
      <c r="AL289" s="113"/>
      <c r="AM289" s="113"/>
      <c r="AN289" s="113"/>
      <c r="AO289" s="137"/>
      <c r="AP289" s="137"/>
      <c r="AQ289" s="137"/>
      <c r="AR289" s="137"/>
      <c r="AS289" s="137"/>
      <c r="AT289" s="137"/>
      <c r="AU289" s="67"/>
      <c r="AV289" s="44"/>
      <c r="AW289" s="67"/>
      <c r="AX289" s="75"/>
      <c r="AY289" s="123"/>
      <c r="AZ289" s="67"/>
      <c r="BA289" s="138"/>
      <c r="BB289" s="67"/>
      <c r="BC289" s="67"/>
      <c r="BD289" s="67"/>
      <c r="BE289" s="67"/>
      <c r="BF289" s="67"/>
      <c r="BG289" s="67"/>
      <c r="BH289" s="67"/>
      <c r="BI289" s="67"/>
      <c r="BJ289" s="67"/>
      <c r="BK289" s="67"/>
      <c r="BL289" s="67"/>
      <c r="BM289" s="70"/>
      <c r="BN289" s="70"/>
      <c r="BO289" s="70"/>
      <c r="BP289" s="70"/>
      <c r="BQ289" s="70"/>
      <c r="BR289" s="70"/>
      <c r="BS289" s="70"/>
      <c r="BT289" s="70"/>
      <c r="BU289" s="70"/>
      <c r="BV289" s="70"/>
      <c r="BW289" s="70"/>
      <c r="BX289" s="136"/>
      <c r="BY289" s="70"/>
      <c r="BZ289" s="67"/>
      <c r="CA289" s="67"/>
      <c r="CB289" s="67"/>
    </row>
    <row r="290" spans="1:80" s="28" customFormat="1" ht="16" customHeight="1">
      <c r="A290" s="39"/>
      <c r="B290" s="57"/>
      <c r="C290" s="67"/>
      <c r="D290" s="67"/>
      <c r="E290" s="39"/>
      <c r="F290" s="39"/>
      <c r="G290" s="39"/>
      <c r="H290" s="67"/>
      <c r="I290" s="60"/>
      <c r="J290" s="60"/>
      <c r="K290" s="60"/>
      <c r="L290" s="60"/>
      <c r="M290" s="60"/>
      <c r="N290" s="60"/>
      <c r="O290" s="60"/>
      <c r="P290" s="60"/>
      <c r="Q290" s="60"/>
      <c r="R290" s="60"/>
      <c r="S290" s="70"/>
      <c r="T290" s="70"/>
      <c r="U290" s="70"/>
      <c r="V290" s="70"/>
      <c r="W290" s="70"/>
      <c r="X290" s="70"/>
      <c r="Y290" s="70"/>
      <c r="Z290" s="70"/>
      <c r="AA290" s="70"/>
      <c r="AB290" s="70"/>
      <c r="AC290" s="70"/>
      <c r="AD290" s="136"/>
      <c r="AE290" s="24"/>
      <c r="AF290" s="24"/>
      <c r="AG290" s="73"/>
      <c r="AH290" s="125"/>
      <c r="AI290" s="103"/>
      <c r="AK290" s="113"/>
      <c r="AL290" s="113"/>
      <c r="AM290" s="113"/>
      <c r="AN290" s="113"/>
      <c r="AO290" s="137"/>
      <c r="AP290" s="137"/>
      <c r="AQ290" s="137"/>
      <c r="AR290" s="137"/>
      <c r="AS290" s="137"/>
      <c r="AT290" s="137"/>
      <c r="AU290" s="67"/>
      <c r="AV290" s="44"/>
      <c r="AW290" s="67"/>
      <c r="AX290" s="75"/>
      <c r="AY290" s="123"/>
      <c r="AZ290" s="67"/>
      <c r="BA290" s="138"/>
      <c r="BB290" s="67"/>
      <c r="BC290" s="67"/>
      <c r="BD290" s="67"/>
      <c r="BE290" s="67"/>
      <c r="BF290" s="67"/>
      <c r="BG290" s="67"/>
      <c r="BH290" s="67"/>
      <c r="BI290" s="67"/>
      <c r="BJ290" s="67"/>
      <c r="BK290" s="67"/>
      <c r="BL290" s="67"/>
      <c r="BM290" s="70"/>
      <c r="BN290" s="70"/>
      <c r="BO290" s="70"/>
      <c r="BP290" s="70"/>
      <c r="BQ290" s="70"/>
      <c r="BR290" s="70"/>
      <c r="BS290" s="70"/>
      <c r="BT290" s="70"/>
      <c r="BU290" s="70"/>
      <c r="BV290" s="70"/>
      <c r="BW290" s="70"/>
      <c r="BX290" s="136"/>
      <c r="BY290" s="70"/>
      <c r="BZ290" s="67"/>
      <c r="CA290" s="67"/>
      <c r="CB290" s="67"/>
    </row>
    <row r="291" spans="1:80" s="28" customFormat="1" ht="16" customHeight="1">
      <c r="A291" s="39"/>
      <c r="B291" s="57"/>
      <c r="C291" s="67"/>
      <c r="D291" s="67"/>
      <c r="E291" s="39"/>
      <c r="F291" s="39"/>
      <c r="G291" s="39"/>
      <c r="H291" s="67"/>
      <c r="I291" s="60"/>
      <c r="J291" s="60"/>
      <c r="K291" s="60"/>
      <c r="L291" s="60"/>
      <c r="M291" s="60"/>
      <c r="N291" s="60"/>
      <c r="O291" s="60"/>
      <c r="P291" s="60"/>
      <c r="Q291" s="60"/>
      <c r="R291" s="60"/>
      <c r="S291" s="70"/>
      <c r="T291" s="70"/>
      <c r="U291" s="70"/>
      <c r="V291" s="70"/>
      <c r="W291" s="70"/>
      <c r="X291" s="70"/>
      <c r="Y291" s="70"/>
      <c r="Z291" s="70"/>
      <c r="AA291" s="70"/>
      <c r="AB291" s="70"/>
      <c r="AC291" s="70"/>
      <c r="AD291" s="136"/>
      <c r="AE291" s="24"/>
      <c r="AF291" s="24"/>
      <c r="AG291" s="73"/>
      <c r="AH291" s="125"/>
      <c r="AI291" s="103"/>
      <c r="AK291" s="113"/>
      <c r="AL291" s="113"/>
      <c r="AM291" s="113"/>
      <c r="AN291" s="113"/>
      <c r="AO291" s="137"/>
      <c r="AP291" s="137"/>
      <c r="AQ291" s="137"/>
      <c r="AR291" s="137"/>
      <c r="AS291" s="137"/>
      <c r="AT291" s="137"/>
      <c r="AU291" s="67"/>
      <c r="AV291" s="44"/>
      <c r="AW291" s="67"/>
      <c r="AX291" s="75"/>
      <c r="AY291" s="123"/>
      <c r="AZ291" s="67"/>
      <c r="BA291" s="138"/>
      <c r="BB291" s="67"/>
      <c r="BC291" s="67"/>
      <c r="BD291" s="67"/>
      <c r="BE291" s="67"/>
      <c r="BF291" s="67"/>
      <c r="BG291" s="67"/>
      <c r="BH291" s="67"/>
      <c r="BI291" s="67"/>
      <c r="BJ291" s="67"/>
      <c r="BK291" s="67"/>
      <c r="BL291" s="67"/>
      <c r="BM291" s="70"/>
      <c r="BN291" s="70"/>
      <c r="BO291" s="70"/>
      <c r="BP291" s="70"/>
      <c r="BQ291" s="70"/>
      <c r="BR291" s="70"/>
      <c r="BS291" s="70"/>
      <c r="BT291" s="70"/>
      <c r="BU291" s="70"/>
      <c r="BV291" s="70"/>
      <c r="BW291" s="70"/>
      <c r="BX291" s="136"/>
      <c r="BY291" s="70"/>
      <c r="BZ291" s="67"/>
      <c r="CA291" s="67"/>
      <c r="CB291" s="67"/>
    </row>
    <row r="292" spans="1:80" s="28" customFormat="1" ht="16" customHeight="1">
      <c r="A292" s="39"/>
      <c r="B292" s="57"/>
      <c r="C292" s="67"/>
      <c r="D292" s="67"/>
      <c r="E292" s="39"/>
      <c r="F292" s="39"/>
      <c r="G292" s="39"/>
      <c r="H292" s="67"/>
      <c r="I292" s="60"/>
      <c r="J292" s="60"/>
      <c r="K292" s="60"/>
      <c r="L292" s="60"/>
      <c r="M292" s="60"/>
      <c r="N292" s="60"/>
      <c r="O292" s="60"/>
      <c r="P292" s="60"/>
      <c r="Q292" s="60"/>
      <c r="R292" s="60"/>
      <c r="S292" s="70"/>
      <c r="T292" s="70"/>
      <c r="U292" s="70"/>
      <c r="V292" s="70"/>
      <c r="W292" s="70"/>
      <c r="X292" s="70"/>
      <c r="Y292" s="70"/>
      <c r="Z292" s="70"/>
      <c r="AA292" s="70"/>
      <c r="AB292" s="70"/>
      <c r="AC292" s="70"/>
      <c r="AD292" s="136"/>
      <c r="AE292" s="24"/>
      <c r="AF292" s="24"/>
      <c r="AG292" s="73"/>
      <c r="AH292" s="125"/>
      <c r="AI292" s="103"/>
      <c r="AK292" s="113"/>
      <c r="AL292" s="113"/>
      <c r="AM292" s="113"/>
      <c r="AN292" s="113"/>
      <c r="AO292" s="137"/>
      <c r="AP292" s="137"/>
      <c r="AQ292" s="137"/>
      <c r="AR292" s="137"/>
      <c r="AS292" s="137"/>
      <c r="AT292" s="137"/>
      <c r="AU292" s="67"/>
      <c r="AV292" s="44"/>
      <c r="AW292" s="67"/>
      <c r="AX292" s="75"/>
      <c r="AY292" s="123"/>
      <c r="AZ292" s="67"/>
      <c r="BA292" s="138"/>
      <c r="BB292" s="67"/>
      <c r="BC292" s="67"/>
      <c r="BD292" s="67"/>
      <c r="BE292" s="67"/>
      <c r="BF292" s="67"/>
      <c r="BG292" s="67"/>
      <c r="BH292" s="67"/>
      <c r="BI292" s="67"/>
      <c r="BJ292" s="67"/>
      <c r="BK292" s="67"/>
      <c r="BL292" s="67"/>
      <c r="BM292" s="70"/>
      <c r="BN292" s="70"/>
      <c r="BO292" s="70"/>
      <c r="BP292" s="70"/>
      <c r="BQ292" s="70"/>
      <c r="BR292" s="70"/>
      <c r="BS292" s="70"/>
      <c r="BT292" s="70"/>
      <c r="BU292" s="70"/>
      <c r="BV292" s="70"/>
      <c r="BW292" s="70"/>
      <c r="BX292" s="136"/>
      <c r="BY292" s="70"/>
      <c r="BZ292" s="67"/>
      <c r="CA292" s="67"/>
      <c r="CB292" s="67"/>
    </row>
    <row r="293" spans="1:80" s="28" customFormat="1" ht="16" customHeight="1">
      <c r="A293" s="39"/>
      <c r="B293" s="57"/>
      <c r="C293" s="67"/>
      <c r="D293" s="67"/>
      <c r="E293" s="39"/>
      <c r="F293" s="39"/>
      <c r="G293" s="39"/>
      <c r="H293" s="67"/>
      <c r="I293" s="60"/>
      <c r="J293" s="60"/>
      <c r="K293" s="60"/>
      <c r="L293" s="60"/>
      <c r="M293" s="60"/>
      <c r="N293" s="60"/>
      <c r="O293" s="60"/>
      <c r="P293" s="60"/>
      <c r="Q293" s="60"/>
      <c r="R293" s="60"/>
      <c r="S293" s="70"/>
      <c r="T293" s="70"/>
      <c r="U293" s="70"/>
      <c r="V293" s="70"/>
      <c r="W293" s="70"/>
      <c r="X293" s="70"/>
      <c r="Y293" s="70"/>
      <c r="Z293" s="70"/>
      <c r="AA293" s="70"/>
      <c r="AB293" s="70"/>
      <c r="AC293" s="70"/>
      <c r="AD293" s="136"/>
      <c r="AE293" s="24"/>
      <c r="AF293" s="24"/>
      <c r="AG293" s="73"/>
      <c r="AH293" s="125"/>
      <c r="AI293" s="103"/>
      <c r="AK293" s="113"/>
      <c r="AL293" s="113"/>
      <c r="AM293" s="113"/>
      <c r="AN293" s="113"/>
      <c r="AO293" s="137"/>
      <c r="AP293" s="137"/>
      <c r="AQ293" s="137"/>
      <c r="AR293" s="137"/>
      <c r="AS293" s="137"/>
      <c r="AT293" s="137"/>
      <c r="AU293" s="67"/>
      <c r="AV293" s="44"/>
      <c r="AW293" s="67"/>
      <c r="AX293" s="75"/>
      <c r="AY293" s="123"/>
      <c r="AZ293" s="67"/>
      <c r="BA293" s="138"/>
      <c r="BB293" s="67"/>
      <c r="BC293" s="67"/>
      <c r="BD293" s="67"/>
      <c r="BE293" s="67"/>
      <c r="BF293" s="67"/>
      <c r="BG293" s="67"/>
      <c r="BH293" s="67"/>
      <c r="BI293" s="67"/>
      <c r="BJ293" s="67"/>
      <c r="BK293" s="67"/>
      <c r="BL293" s="67"/>
      <c r="BM293" s="70"/>
      <c r="BN293" s="70"/>
      <c r="BO293" s="70"/>
      <c r="BP293" s="70"/>
      <c r="BQ293" s="70"/>
      <c r="BR293" s="70"/>
      <c r="BS293" s="70"/>
      <c r="BT293" s="70"/>
      <c r="BU293" s="70"/>
      <c r="BV293" s="70"/>
      <c r="BW293" s="70"/>
      <c r="BX293" s="136"/>
      <c r="BY293" s="70"/>
      <c r="BZ293" s="67"/>
      <c r="CA293" s="67"/>
      <c r="CB293" s="67"/>
    </row>
    <row r="294" spans="1:80" s="28" customFormat="1" ht="16" customHeight="1">
      <c r="A294" s="39"/>
      <c r="B294" s="57"/>
      <c r="C294" s="67"/>
      <c r="D294" s="67"/>
      <c r="E294" s="39"/>
      <c r="F294" s="39"/>
      <c r="G294" s="39"/>
      <c r="H294" s="67"/>
      <c r="I294" s="60"/>
      <c r="J294" s="60"/>
      <c r="K294" s="60"/>
      <c r="L294" s="60"/>
      <c r="M294" s="60"/>
      <c r="N294" s="60"/>
      <c r="O294" s="60"/>
      <c r="P294" s="60"/>
      <c r="Q294" s="60"/>
      <c r="R294" s="60"/>
      <c r="S294" s="70"/>
      <c r="T294" s="70"/>
      <c r="U294" s="70"/>
      <c r="V294" s="70"/>
      <c r="W294" s="70"/>
      <c r="X294" s="70"/>
      <c r="Y294" s="70"/>
      <c r="Z294" s="70"/>
      <c r="AA294" s="70"/>
      <c r="AB294" s="70"/>
      <c r="AC294" s="70"/>
      <c r="AD294" s="136"/>
      <c r="AE294" s="24"/>
      <c r="AF294" s="24"/>
      <c r="AG294" s="73"/>
      <c r="AH294" s="125"/>
      <c r="AI294" s="103"/>
      <c r="AK294" s="113"/>
      <c r="AL294" s="113"/>
      <c r="AM294" s="113"/>
      <c r="AN294" s="113"/>
      <c r="AO294" s="137"/>
      <c r="AP294" s="137"/>
      <c r="AQ294" s="137"/>
      <c r="AR294" s="137"/>
      <c r="AS294" s="137"/>
      <c r="AT294" s="137"/>
      <c r="AU294" s="67"/>
      <c r="AV294" s="44"/>
      <c r="AW294" s="67"/>
      <c r="AX294" s="75"/>
      <c r="AY294" s="123"/>
      <c r="AZ294" s="67"/>
      <c r="BA294" s="138"/>
      <c r="BB294" s="67"/>
      <c r="BC294" s="67"/>
      <c r="BD294" s="67"/>
      <c r="BE294" s="67"/>
      <c r="BF294" s="67"/>
      <c r="BG294" s="67"/>
      <c r="BH294" s="67"/>
      <c r="BI294" s="67"/>
      <c r="BJ294" s="67"/>
      <c r="BK294" s="67"/>
      <c r="BL294" s="67"/>
      <c r="BM294" s="70"/>
      <c r="BN294" s="70"/>
      <c r="BO294" s="70"/>
      <c r="BP294" s="70"/>
      <c r="BQ294" s="70"/>
      <c r="BR294" s="70"/>
      <c r="BS294" s="70"/>
      <c r="BT294" s="70"/>
      <c r="BU294" s="70"/>
      <c r="BV294" s="70"/>
      <c r="BW294" s="70"/>
      <c r="BX294" s="136"/>
      <c r="BY294" s="70"/>
      <c r="BZ294" s="67"/>
      <c r="CA294" s="67"/>
      <c r="CB294" s="67"/>
    </row>
    <row r="295" spans="1:80" s="28" customFormat="1" ht="16" customHeight="1">
      <c r="A295" s="39"/>
      <c r="B295" s="57"/>
      <c r="C295" s="67"/>
      <c r="D295" s="67"/>
      <c r="E295" s="39"/>
      <c r="F295" s="39"/>
      <c r="G295" s="39"/>
      <c r="H295" s="67"/>
      <c r="I295" s="60"/>
      <c r="J295" s="60"/>
      <c r="K295" s="60"/>
      <c r="L295" s="60"/>
      <c r="M295" s="60"/>
      <c r="N295" s="60"/>
      <c r="O295" s="60"/>
      <c r="P295" s="60"/>
      <c r="Q295" s="60"/>
      <c r="R295" s="60"/>
      <c r="S295" s="70"/>
      <c r="T295" s="70"/>
      <c r="U295" s="70"/>
      <c r="V295" s="70"/>
      <c r="W295" s="70"/>
      <c r="X295" s="70"/>
      <c r="Y295" s="70"/>
      <c r="Z295" s="70"/>
      <c r="AA295" s="70"/>
      <c r="AB295" s="70"/>
      <c r="AC295" s="70"/>
      <c r="AD295" s="136"/>
      <c r="AE295" s="24"/>
      <c r="AF295" s="24"/>
      <c r="AG295" s="73"/>
      <c r="AH295" s="125"/>
      <c r="AI295" s="103"/>
      <c r="AK295" s="113"/>
      <c r="AL295" s="113"/>
      <c r="AM295" s="113"/>
      <c r="AN295" s="113"/>
      <c r="AO295" s="137"/>
      <c r="AP295" s="137"/>
      <c r="AQ295" s="137"/>
      <c r="AR295" s="137"/>
      <c r="AS295" s="137"/>
      <c r="AT295" s="137"/>
      <c r="AU295" s="67"/>
      <c r="AV295" s="44"/>
      <c r="AW295" s="67"/>
      <c r="AX295" s="75"/>
      <c r="AY295" s="123"/>
      <c r="AZ295" s="67"/>
      <c r="BA295" s="138"/>
      <c r="BB295" s="67"/>
      <c r="BC295" s="67"/>
      <c r="BD295" s="67"/>
      <c r="BE295" s="67"/>
      <c r="BF295" s="67"/>
      <c r="BG295" s="67"/>
      <c r="BH295" s="67"/>
      <c r="BI295" s="67"/>
      <c r="BJ295" s="67"/>
      <c r="BK295" s="67"/>
      <c r="BL295" s="67"/>
      <c r="BM295" s="70"/>
      <c r="BN295" s="70"/>
      <c r="BO295" s="70"/>
      <c r="BP295" s="70"/>
      <c r="BQ295" s="70"/>
      <c r="BR295" s="70"/>
      <c r="BS295" s="70"/>
      <c r="BT295" s="70"/>
      <c r="BU295" s="70"/>
      <c r="BV295" s="70"/>
      <c r="BW295" s="70"/>
      <c r="BX295" s="136"/>
      <c r="BY295" s="70"/>
      <c r="BZ295" s="67"/>
      <c r="CA295" s="67"/>
      <c r="CB295" s="67"/>
    </row>
    <row r="296" spans="1:80" s="28" customFormat="1" ht="16" customHeight="1">
      <c r="A296" s="39"/>
      <c r="B296" s="57"/>
      <c r="C296" s="67"/>
      <c r="D296" s="67"/>
      <c r="E296" s="39"/>
      <c r="F296" s="39"/>
      <c r="G296" s="39"/>
      <c r="H296" s="67"/>
      <c r="I296" s="60"/>
      <c r="J296" s="60"/>
      <c r="K296" s="60"/>
      <c r="L296" s="60"/>
      <c r="M296" s="60"/>
      <c r="N296" s="60"/>
      <c r="O296" s="60"/>
      <c r="P296" s="60"/>
      <c r="Q296" s="60"/>
      <c r="R296" s="60"/>
      <c r="S296" s="70"/>
      <c r="T296" s="70"/>
      <c r="U296" s="70"/>
      <c r="V296" s="70"/>
      <c r="W296" s="70"/>
      <c r="X296" s="70"/>
      <c r="Y296" s="70"/>
      <c r="Z296" s="70"/>
      <c r="AA296" s="70"/>
      <c r="AB296" s="70"/>
      <c r="AC296" s="70"/>
      <c r="AD296" s="136"/>
      <c r="AE296" s="24"/>
      <c r="AF296" s="24"/>
      <c r="AG296" s="73"/>
      <c r="AH296" s="125"/>
      <c r="AI296" s="103"/>
      <c r="AK296" s="113"/>
      <c r="AL296" s="113"/>
      <c r="AM296" s="113"/>
      <c r="AN296" s="113"/>
      <c r="AO296" s="137"/>
      <c r="AP296" s="137"/>
      <c r="AQ296" s="137"/>
      <c r="AR296" s="137"/>
      <c r="AS296" s="137"/>
      <c r="AT296" s="137"/>
      <c r="AU296" s="67"/>
      <c r="AV296" s="44"/>
      <c r="AW296" s="67"/>
      <c r="AX296" s="75"/>
      <c r="AY296" s="123"/>
      <c r="AZ296" s="67"/>
      <c r="BA296" s="138"/>
      <c r="BB296" s="67"/>
      <c r="BC296" s="67"/>
      <c r="BD296" s="67"/>
      <c r="BE296" s="67"/>
      <c r="BF296" s="67"/>
      <c r="BG296" s="67"/>
      <c r="BH296" s="67"/>
      <c r="BI296" s="67"/>
      <c r="BJ296" s="67"/>
      <c r="BK296" s="67"/>
      <c r="BL296" s="67"/>
      <c r="BM296" s="70"/>
      <c r="BN296" s="70"/>
      <c r="BO296" s="70"/>
      <c r="BP296" s="70"/>
      <c r="BQ296" s="70"/>
      <c r="BR296" s="70"/>
      <c r="BS296" s="70"/>
      <c r="BT296" s="70"/>
      <c r="BU296" s="70"/>
      <c r="BV296" s="70"/>
      <c r="BW296" s="70"/>
      <c r="BX296" s="136"/>
      <c r="BY296" s="70"/>
      <c r="BZ296" s="67"/>
      <c r="CA296" s="67"/>
      <c r="CB296" s="67"/>
    </row>
    <row r="297" spans="1:80" s="28" customFormat="1" ht="16" customHeight="1">
      <c r="A297" s="39"/>
      <c r="B297" s="57"/>
      <c r="C297" s="67"/>
      <c r="D297" s="67"/>
      <c r="E297" s="39"/>
      <c r="F297" s="39"/>
      <c r="G297" s="39"/>
      <c r="H297" s="67"/>
      <c r="I297" s="60"/>
      <c r="J297" s="60"/>
      <c r="K297" s="60"/>
      <c r="L297" s="60"/>
      <c r="M297" s="60"/>
      <c r="N297" s="60"/>
      <c r="O297" s="60"/>
      <c r="P297" s="60"/>
      <c r="Q297" s="60"/>
      <c r="R297" s="60"/>
      <c r="S297" s="70"/>
      <c r="T297" s="70"/>
      <c r="U297" s="70"/>
      <c r="V297" s="70"/>
      <c r="W297" s="70"/>
      <c r="X297" s="70"/>
      <c r="Y297" s="70"/>
      <c r="Z297" s="70"/>
      <c r="AA297" s="70"/>
      <c r="AB297" s="70"/>
      <c r="AC297" s="70"/>
      <c r="AD297" s="136"/>
      <c r="AE297" s="24"/>
      <c r="AF297" s="24"/>
      <c r="AG297" s="73"/>
      <c r="AH297" s="125"/>
      <c r="AI297" s="103"/>
      <c r="AK297" s="113"/>
      <c r="AL297" s="113"/>
      <c r="AM297" s="113"/>
      <c r="AN297" s="113"/>
      <c r="AO297" s="137"/>
      <c r="AP297" s="137"/>
      <c r="AQ297" s="137"/>
      <c r="AR297" s="137"/>
      <c r="AS297" s="137"/>
      <c r="AT297" s="137"/>
      <c r="AU297" s="67"/>
      <c r="AV297" s="44"/>
      <c r="AW297" s="67"/>
      <c r="AX297" s="75"/>
      <c r="AY297" s="123"/>
      <c r="AZ297" s="67"/>
      <c r="BA297" s="138"/>
      <c r="BB297" s="67"/>
      <c r="BC297" s="67"/>
      <c r="BD297" s="67"/>
      <c r="BE297" s="67"/>
      <c r="BF297" s="67"/>
      <c r="BG297" s="67"/>
      <c r="BH297" s="67"/>
      <c r="BI297" s="67"/>
      <c r="BJ297" s="67"/>
      <c r="BK297" s="67"/>
      <c r="BL297" s="67"/>
      <c r="BM297" s="70"/>
      <c r="BN297" s="70"/>
      <c r="BO297" s="70"/>
      <c r="BP297" s="70"/>
      <c r="BQ297" s="70"/>
      <c r="BR297" s="70"/>
      <c r="BS297" s="70"/>
      <c r="BT297" s="70"/>
      <c r="BU297" s="70"/>
      <c r="BV297" s="70"/>
      <c r="BW297" s="70"/>
      <c r="BX297" s="136"/>
      <c r="BY297" s="70"/>
      <c r="BZ297" s="67"/>
      <c r="CA297" s="67"/>
      <c r="CB297" s="67"/>
    </row>
    <row r="298" spans="1:80" s="28" customFormat="1" ht="16" customHeight="1">
      <c r="A298" s="39"/>
      <c r="B298" s="57"/>
      <c r="C298" s="67"/>
      <c r="D298" s="67"/>
      <c r="E298" s="39"/>
      <c r="F298" s="39"/>
      <c r="G298" s="39"/>
      <c r="H298" s="67"/>
      <c r="I298" s="60"/>
      <c r="J298" s="60"/>
      <c r="K298" s="60"/>
      <c r="L298" s="60"/>
      <c r="M298" s="60"/>
      <c r="N298" s="60"/>
      <c r="O298" s="60"/>
      <c r="P298" s="60"/>
      <c r="Q298" s="60"/>
      <c r="R298" s="60"/>
      <c r="S298" s="70"/>
      <c r="T298" s="70"/>
      <c r="U298" s="70"/>
      <c r="V298" s="70"/>
      <c r="W298" s="70"/>
      <c r="X298" s="70"/>
      <c r="Y298" s="70"/>
      <c r="Z298" s="70"/>
      <c r="AA298" s="70"/>
      <c r="AB298" s="70"/>
      <c r="AC298" s="70"/>
      <c r="AD298" s="136"/>
      <c r="AE298" s="24"/>
      <c r="AF298" s="24"/>
      <c r="AG298" s="73"/>
      <c r="AH298" s="125"/>
      <c r="AI298" s="103"/>
      <c r="AK298" s="113"/>
      <c r="AL298" s="113"/>
      <c r="AM298" s="113"/>
      <c r="AN298" s="113"/>
      <c r="AO298" s="137"/>
      <c r="AP298" s="137"/>
      <c r="AQ298" s="137"/>
      <c r="AR298" s="137"/>
      <c r="AS298" s="137"/>
      <c r="AT298" s="137"/>
      <c r="AU298" s="67"/>
      <c r="AV298" s="44"/>
      <c r="AW298" s="67"/>
      <c r="AX298" s="75"/>
      <c r="AY298" s="123"/>
      <c r="AZ298" s="67"/>
      <c r="BA298" s="138"/>
      <c r="BB298" s="67"/>
      <c r="BC298" s="67"/>
      <c r="BD298" s="67"/>
      <c r="BE298" s="67"/>
      <c r="BF298" s="67"/>
      <c r="BG298" s="67"/>
      <c r="BH298" s="67"/>
      <c r="BI298" s="67"/>
      <c r="BJ298" s="67"/>
      <c r="BK298" s="67"/>
      <c r="BL298" s="67"/>
      <c r="BM298" s="70"/>
      <c r="BN298" s="70"/>
      <c r="BO298" s="70"/>
      <c r="BP298" s="70"/>
      <c r="BQ298" s="70"/>
      <c r="BR298" s="70"/>
      <c r="BS298" s="70"/>
      <c r="BT298" s="70"/>
      <c r="BU298" s="70"/>
      <c r="BV298" s="70"/>
      <c r="BW298" s="70"/>
      <c r="BX298" s="136"/>
      <c r="BY298" s="70"/>
      <c r="BZ298" s="67"/>
      <c r="CA298" s="67"/>
      <c r="CB298" s="67"/>
    </row>
    <row r="299" spans="1:80" s="28" customFormat="1" ht="16" customHeight="1">
      <c r="A299" s="39"/>
      <c r="B299" s="57"/>
      <c r="C299" s="67"/>
      <c r="D299" s="67"/>
      <c r="E299" s="39"/>
      <c r="F299" s="39"/>
      <c r="G299" s="39"/>
      <c r="H299" s="67"/>
      <c r="I299" s="60"/>
      <c r="J299" s="60"/>
      <c r="K299" s="60"/>
      <c r="L299" s="60"/>
      <c r="M299" s="60"/>
      <c r="N299" s="60"/>
      <c r="O299" s="60"/>
      <c r="P299" s="60"/>
      <c r="Q299" s="60"/>
      <c r="R299" s="60"/>
      <c r="S299" s="70"/>
      <c r="T299" s="70"/>
      <c r="U299" s="70"/>
      <c r="V299" s="70"/>
      <c r="W299" s="70"/>
      <c r="X299" s="70"/>
      <c r="Y299" s="70"/>
      <c r="Z299" s="70"/>
      <c r="AA299" s="70"/>
      <c r="AB299" s="70"/>
      <c r="AC299" s="70"/>
      <c r="AD299" s="136"/>
      <c r="AE299" s="24"/>
      <c r="AF299" s="24"/>
      <c r="AG299" s="73"/>
      <c r="AH299" s="125"/>
      <c r="AI299" s="103"/>
      <c r="AK299" s="113"/>
      <c r="AL299" s="113"/>
      <c r="AM299" s="113"/>
      <c r="AN299" s="113"/>
      <c r="AO299" s="137"/>
      <c r="AP299" s="137"/>
      <c r="AQ299" s="137"/>
      <c r="AR299" s="137"/>
      <c r="AS299" s="137"/>
      <c r="AT299" s="137"/>
      <c r="AU299" s="67"/>
      <c r="AV299" s="44"/>
      <c r="AW299" s="67"/>
      <c r="AX299" s="75"/>
      <c r="AY299" s="123"/>
      <c r="AZ299" s="67"/>
      <c r="BA299" s="138"/>
      <c r="BB299" s="67"/>
      <c r="BC299" s="67"/>
      <c r="BD299" s="67"/>
      <c r="BE299" s="67"/>
      <c r="BF299" s="67"/>
      <c r="BG299" s="67"/>
      <c r="BH299" s="67"/>
      <c r="BI299" s="67"/>
      <c r="BJ299" s="67"/>
      <c r="BK299" s="67"/>
      <c r="BL299" s="67"/>
      <c r="BM299" s="70"/>
      <c r="BN299" s="70"/>
      <c r="BO299" s="70"/>
      <c r="BP299" s="70"/>
      <c r="BQ299" s="70"/>
      <c r="BR299" s="70"/>
      <c r="BS299" s="70"/>
      <c r="BT299" s="70"/>
      <c r="BU299" s="70"/>
      <c r="BV299" s="70"/>
      <c r="BW299" s="70"/>
      <c r="BX299" s="136"/>
      <c r="BY299" s="70"/>
      <c r="BZ299" s="67"/>
      <c r="CA299" s="67"/>
      <c r="CB299" s="67"/>
    </row>
    <row r="300" spans="1:80" s="28" customFormat="1" ht="16" customHeight="1">
      <c r="A300" s="39"/>
      <c r="B300" s="57"/>
      <c r="C300" s="67"/>
      <c r="D300" s="67"/>
      <c r="E300" s="39"/>
      <c r="F300" s="39"/>
      <c r="G300" s="39"/>
      <c r="H300" s="67"/>
      <c r="I300" s="60"/>
      <c r="J300" s="60"/>
      <c r="K300" s="60"/>
      <c r="L300" s="60"/>
      <c r="M300" s="60"/>
      <c r="N300" s="60"/>
      <c r="O300" s="60"/>
      <c r="P300" s="60"/>
      <c r="Q300" s="60"/>
      <c r="R300" s="60"/>
      <c r="S300" s="70"/>
      <c r="T300" s="70"/>
      <c r="U300" s="70"/>
      <c r="V300" s="70"/>
      <c r="W300" s="70"/>
      <c r="X300" s="70"/>
      <c r="Y300" s="70"/>
      <c r="Z300" s="70"/>
      <c r="AA300" s="70"/>
      <c r="AB300" s="70"/>
      <c r="AC300" s="70"/>
      <c r="AD300" s="136"/>
      <c r="AE300" s="24"/>
      <c r="AF300" s="24"/>
      <c r="AG300" s="73"/>
      <c r="AH300" s="125"/>
      <c r="AI300" s="103"/>
      <c r="AK300" s="113"/>
      <c r="AL300" s="113"/>
      <c r="AM300" s="113"/>
      <c r="AN300" s="113"/>
      <c r="AO300" s="137"/>
      <c r="AP300" s="137"/>
      <c r="AQ300" s="137"/>
      <c r="AR300" s="137"/>
      <c r="AS300" s="137"/>
      <c r="AT300" s="137"/>
      <c r="AU300" s="67"/>
      <c r="AV300" s="44"/>
      <c r="AW300" s="67"/>
      <c r="AX300" s="75"/>
      <c r="AY300" s="123"/>
      <c r="AZ300" s="67"/>
      <c r="BA300" s="138"/>
      <c r="BB300" s="67"/>
      <c r="BC300" s="67"/>
      <c r="BD300" s="67"/>
      <c r="BE300" s="67"/>
      <c r="BF300" s="67"/>
      <c r="BG300" s="67"/>
      <c r="BH300" s="67"/>
      <c r="BI300" s="67"/>
      <c r="BJ300" s="67"/>
      <c r="BK300" s="67"/>
      <c r="BL300" s="67"/>
      <c r="BM300" s="70"/>
      <c r="BN300" s="70"/>
      <c r="BO300" s="70"/>
      <c r="BP300" s="70"/>
      <c r="BQ300" s="70"/>
      <c r="BR300" s="70"/>
      <c r="BS300" s="70"/>
      <c r="BT300" s="70"/>
      <c r="BU300" s="70"/>
      <c r="BV300" s="70"/>
      <c r="BW300" s="70"/>
      <c r="BX300" s="136"/>
      <c r="BY300" s="70"/>
      <c r="BZ300" s="67"/>
      <c r="CA300" s="67"/>
      <c r="CB300" s="67"/>
    </row>
    <row r="301" spans="1:80" s="28" customFormat="1" ht="16" customHeight="1">
      <c r="A301" s="39"/>
      <c r="B301" s="57"/>
      <c r="C301" s="67"/>
      <c r="D301" s="67"/>
      <c r="E301" s="39"/>
      <c r="F301" s="39"/>
      <c r="G301" s="39"/>
      <c r="H301" s="67"/>
      <c r="I301" s="60"/>
      <c r="J301" s="60"/>
      <c r="K301" s="60"/>
      <c r="L301" s="60"/>
      <c r="M301" s="60"/>
      <c r="N301" s="60"/>
      <c r="O301" s="60"/>
      <c r="P301" s="60"/>
      <c r="Q301" s="60"/>
      <c r="R301" s="60"/>
      <c r="S301" s="70"/>
      <c r="T301" s="70"/>
      <c r="U301" s="70"/>
      <c r="V301" s="70"/>
      <c r="W301" s="70"/>
      <c r="X301" s="70"/>
      <c r="Y301" s="70"/>
      <c r="Z301" s="70"/>
      <c r="AA301" s="70"/>
      <c r="AB301" s="70"/>
      <c r="AC301" s="70"/>
      <c r="AD301" s="136"/>
      <c r="AE301" s="24"/>
      <c r="AF301" s="24"/>
      <c r="AG301" s="73"/>
      <c r="AH301" s="125"/>
      <c r="AI301" s="103"/>
      <c r="AK301" s="113"/>
      <c r="AL301" s="113"/>
      <c r="AM301" s="113"/>
      <c r="AN301" s="113"/>
      <c r="AO301" s="137"/>
      <c r="AP301" s="137"/>
      <c r="AQ301" s="137"/>
      <c r="AR301" s="137"/>
      <c r="AS301" s="137"/>
      <c r="AT301" s="137"/>
      <c r="AU301" s="67"/>
      <c r="AV301" s="44"/>
      <c r="AW301" s="67"/>
      <c r="AX301" s="75"/>
      <c r="AY301" s="123"/>
      <c r="AZ301" s="67"/>
      <c r="BA301" s="138"/>
      <c r="BB301" s="67"/>
      <c r="BC301" s="67"/>
      <c r="BD301" s="67"/>
      <c r="BE301" s="67"/>
      <c r="BF301" s="67"/>
      <c r="BG301" s="67"/>
      <c r="BH301" s="67"/>
      <c r="BI301" s="67"/>
      <c r="BJ301" s="67"/>
      <c r="BK301" s="67"/>
      <c r="BL301" s="67"/>
      <c r="BM301" s="70"/>
      <c r="BN301" s="70"/>
      <c r="BO301" s="70"/>
      <c r="BP301" s="70"/>
      <c r="BQ301" s="70"/>
      <c r="BR301" s="70"/>
      <c r="BS301" s="70"/>
      <c r="BT301" s="70"/>
      <c r="BU301" s="70"/>
      <c r="BV301" s="70"/>
      <c r="BW301" s="70"/>
      <c r="BX301" s="136"/>
      <c r="BY301" s="70"/>
      <c r="BZ301" s="67"/>
      <c r="CA301" s="67"/>
      <c r="CB301" s="67"/>
    </row>
    <row r="302" spans="1:80" s="28" customFormat="1" ht="16" customHeight="1">
      <c r="A302" s="39"/>
      <c r="B302" s="57"/>
      <c r="C302" s="67"/>
      <c r="D302" s="67"/>
      <c r="E302" s="39"/>
      <c r="F302" s="39"/>
      <c r="G302" s="39"/>
      <c r="H302" s="67"/>
      <c r="I302" s="60"/>
      <c r="J302" s="60"/>
      <c r="K302" s="60"/>
      <c r="L302" s="60"/>
      <c r="M302" s="60"/>
      <c r="N302" s="60"/>
      <c r="O302" s="60"/>
      <c r="P302" s="60"/>
      <c r="Q302" s="60"/>
      <c r="R302" s="60"/>
      <c r="S302" s="70"/>
      <c r="T302" s="70"/>
      <c r="U302" s="70"/>
      <c r="V302" s="70"/>
      <c r="W302" s="70"/>
      <c r="X302" s="70"/>
      <c r="Y302" s="70"/>
      <c r="Z302" s="70"/>
      <c r="AA302" s="70"/>
      <c r="AB302" s="70"/>
      <c r="AC302" s="70"/>
      <c r="AD302" s="136"/>
      <c r="AE302" s="24"/>
      <c r="AF302" s="24"/>
      <c r="AG302" s="73"/>
      <c r="AH302" s="125"/>
      <c r="AI302" s="103"/>
      <c r="AK302" s="113"/>
      <c r="AL302" s="113"/>
      <c r="AM302" s="113"/>
      <c r="AN302" s="113"/>
      <c r="AO302" s="137"/>
      <c r="AP302" s="137"/>
      <c r="AQ302" s="137"/>
      <c r="AR302" s="137"/>
      <c r="AS302" s="137"/>
      <c r="AT302" s="137"/>
      <c r="AU302" s="67"/>
      <c r="AV302" s="44"/>
      <c r="AW302" s="67"/>
      <c r="AX302" s="75"/>
      <c r="AY302" s="123"/>
      <c r="AZ302" s="67"/>
      <c r="BA302" s="138"/>
      <c r="BB302" s="67"/>
      <c r="BC302" s="67"/>
      <c r="BD302" s="67"/>
      <c r="BE302" s="67"/>
      <c r="BF302" s="67"/>
      <c r="BG302" s="67"/>
      <c r="BH302" s="67"/>
      <c r="BI302" s="67"/>
      <c r="BJ302" s="67"/>
      <c r="BK302" s="67"/>
      <c r="BL302" s="67"/>
      <c r="BM302" s="70"/>
      <c r="BN302" s="70"/>
      <c r="BO302" s="70"/>
      <c r="BP302" s="70"/>
      <c r="BQ302" s="70"/>
      <c r="BR302" s="70"/>
      <c r="BS302" s="70"/>
      <c r="BT302" s="70"/>
      <c r="BU302" s="70"/>
      <c r="BV302" s="70"/>
      <c r="BW302" s="70"/>
      <c r="BX302" s="136"/>
      <c r="BY302" s="70"/>
      <c r="BZ302" s="67"/>
      <c r="CA302" s="67"/>
      <c r="CB302" s="67"/>
    </row>
    <row r="303" spans="1:80" s="28" customFormat="1" ht="16" customHeight="1">
      <c r="A303" s="39"/>
      <c r="B303" s="57"/>
      <c r="C303" s="67"/>
      <c r="D303" s="67"/>
      <c r="E303" s="39"/>
      <c r="F303" s="39"/>
      <c r="G303" s="39"/>
      <c r="H303" s="67"/>
      <c r="I303" s="60"/>
      <c r="J303" s="60"/>
      <c r="K303" s="60"/>
      <c r="L303" s="60"/>
      <c r="M303" s="60"/>
      <c r="N303" s="60"/>
      <c r="O303" s="60"/>
      <c r="P303" s="60"/>
      <c r="Q303" s="60"/>
      <c r="R303" s="60"/>
      <c r="S303" s="70"/>
      <c r="T303" s="70"/>
      <c r="U303" s="70"/>
      <c r="V303" s="70"/>
      <c r="W303" s="70"/>
      <c r="X303" s="70"/>
      <c r="Y303" s="70"/>
      <c r="Z303" s="70"/>
      <c r="AA303" s="70"/>
      <c r="AB303" s="70"/>
      <c r="AC303" s="70"/>
      <c r="AD303" s="136"/>
      <c r="AE303" s="24"/>
      <c r="AF303" s="24"/>
      <c r="AG303" s="73"/>
      <c r="AH303" s="125"/>
      <c r="AI303" s="103"/>
      <c r="AK303" s="113"/>
      <c r="AL303" s="113"/>
      <c r="AM303" s="113"/>
      <c r="AN303" s="113"/>
      <c r="AO303" s="137"/>
      <c r="AP303" s="137"/>
      <c r="AQ303" s="137"/>
      <c r="AR303" s="137"/>
      <c r="AS303" s="137"/>
      <c r="AT303" s="137"/>
      <c r="AU303" s="67"/>
      <c r="AV303" s="44"/>
      <c r="AW303" s="67"/>
      <c r="AX303" s="75"/>
      <c r="AY303" s="123"/>
      <c r="AZ303" s="67"/>
      <c r="BA303" s="138"/>
      <c r="BB303" s="67"/>
      <c r="BC303" s="67"/>
      <c r="BD303" s="67"/>
      <c r="BE303" s="67"/>
      <c r="BF303" s="67"/>
      <c r="BG303" s="67"/>
      <c r="BH303" s="67"/>
      <c r="BI303" s="67"/>
      <c r="BJ303" s="67"/>
      <c r="BK303" s="67"/>
      <c r="BL303" s="67"/>
      <c r="BM303" s="70"/>
      <c r="BN303" s="70"/>
      <c r="BO303" s="70"/>
      <c r="BP303" s="70"/>
      <c r="BQ303" s="70"/>
      <c r="BR303" s="70"/>
      <c r="BS303" s="70"/>
      <c r="BT303" s="70"/>
      <c r="BU303" s="70"/>
      <c r="BV303" s="70"/>
      <c r="BW303" s="70"/>
      <c r="BX303" s="136"/>
      <c r="BY303" s="70"/>
      <c r="BZ303" s="67"/>
      <c r="CA303" s="67"/>
      <c r="CB303" s="67"/>
    </row>
    <row r="304" spans="1:80" s="28" customFormat="1" ht="16" customHeight="1">
      <c r="A304" s="39"/>
      <c r="B304" s="57"/>
      <c r="C304" s="67"/>
      <c r="D304" s="67"/>
      <c r="E304" s="39"/>
      <c r="F304" s="39"/>
      <c r="G304" s="39"/>
      <c r="H304" s="67"/>
      <c r="I304" s="60"/>
      <c r="J304" s="60"/>
      <c r="K304" s="60"/>
      <c r="L304" s="60"/>
      <c r="M304" s="60"/>
      <c r="N304" s="60"/>
      <c r="O304" s="60"/>
      <c r="P304" s="60"/>
      <c r="Q304" s="60"/>
      <c r="R304" s="60"/>
      <c r="S304" s="70"/>
      <c r="T304" s="70"/>
      <c r="U304" s="70"/>
      <c r="V304" s="70"/>
      <c r="W304" s="70"/>
      <c r="X304" s="70"/>
      <c r="Y304" s="70"/>
      <c r="Z304" s="70"/>
      <c r="AA304" s="70"/>
      <c r="AB304" s="70"/>
      <c r="AC304" s="70"/>
      <c r="AD304" s="136"/>
      <c r="AE304" s="24"/>
      <c r="AF304" s="24"/>
      <c r="AG304" s="73"/>
      <c r="AH304" s="125"/>
      <c r="AI304" s="103"/>
      <c r="AK304" s="113"/>
      <c r="AL304" s="113"/>
      <c r="AM304" s="113"/>
      <c r="AN304" s="113"/>
      <c r="AO304" s="137"/>
      <c r="AP304" s="137"/>
      <c r="AQ304" s="137"/>
      <c r="AR304" s="137"/>
      <c r="AS304" s="137"/>
      <c r="AT304" s="137"/>
      <c r="AU304" s="67"/>
      <c r="AV304" s="44"/>
      <c r="AW304" s="67"/>
      <c r="AX304" s="75"/>
      <c r="AY304" s="123"/>
      <c r="AZ304" s="67"/>
      <c r="BA304" s="138"/>
      <c r="BB304" s="67"/>
      <c r="BC304" s="67"/>
      <c r="BD304" s="67"/>
      <c r="BE304" s="67"/>
      <c r="BF304" s="67"/>
      <c r="BG304" s="67"/>
      <c r="BH304" s="67"/>
      <c r="BI304" s="67"/>
      <c r="BJ304" s="67"/>
      <c r="BK304" s="67"/>
      <c r="BL304" s="67"/>
      <c r="BM304" s="70"/>
      <c r="BN304" s="70"/>
      <c r="BO304" s="70"/>
      <c r="BP304" s="70"/>
      <c r="BQ304" s="70"/>
      <c r="BR304" s="70"/>
      <c r="BS304" s="70"/>
      <c r="BT304" s="70"/>
      <c r="BU304" s="70"/>
      <c r="BV304" s="70"/>
      <c r="BW304" s="70"/>
      <c r="BX304" s="136"/>
      <c r="BY304" s="70"/>
      <c r="BZ304" s="67"/>
      <c r="CA304" s="67"/>
      <c r="CB304" s="67"/>
    </row>
    <row r="305" spans="1:80" s="28" customFormat="1" ht="16" customHeight="1">
      <c r="A305" s="39"/>
      <c r="B305" s="57"/>
      <c r="C305" s="67"/>
      <c r="D305" s="67"/>
      <c r="E305" s="39"/>
      <c r="F305" s="39"/>
      <c r="G305" s="39"/>
      <c r="H305" s="67"/>
      <c r="I305" s="60"/>
      <c r="J305" s="60"/>
      <c r="K305" s="60"/>
      <c r="L305" s="60"/>
      <c r="M305" s="60"/>
      <c r="N305" s="60"/>
      <c r="O305" s="60"/>
      <c r="P305" s="60"/>
      <c r="Q305" s="60"/>
      <c r="R305" s="60"/>
      <c r="S305" s="70"/>
      <c r="T305" s="70"/>
      <c r="U305" s="70"/>
      <c r="V305" s="70"/>
      <c r="W305" s="70"/>
      <c r="X305" s="70"/>
      <c r="Y305" s="70"/>
      <c r="Z305" s="70"/>
      <c r="AA305" s="70"/>
      <c r="AB305" s="70"/>
      <c r="AC305" s="70"/>
      <c r="AD305" s="136"/>
      <c r="AE305" s="24"/>
      <c r="AF305" s="24"/>
      <c r="AG305" s="73"/>
      <c r="AH305" s="125"/>
      <c r="AI305" s="103"/>
      <c r="AK305" s="113"/>
      <c r="AL305" s="113"/>
      <c r="AM305" s="113"/>
      <c r="AN305" s="113"/>
      <c r="AO305" s="137"/>
      <c r="AP305" s="137"/>
      <c r="AQ305" s="137"/>
      <c r="AR305" s="137"/>
      <c r="AS305" s="137"/>
      <c r="AT305" s="137"/>
      <c r="AU305" s="67"/>
      <c r="AV305" s="44"/>
      <c r="AW305" s="67"/>
      <c r="AX305" s="75"/>
      <c r="AY305" s="123"/>
      <c r="AZ305" s="67"/>
      <c r="BA305" s="138"/>
      <c r="BB305" s="67"/>
      <c r="BC305" s="67"/>
      <c r="BD305" s="67"/>
      <c r="BE305" s="67"/>
      <c r="BF305" s="67"/>
      <c r="BG305" s="67"/>
      <c r="BH305" s="67"/>
      <c r="BI305" s="67"/>
      <c r="BJ305" s="67"/>
      <c r="BK305" s="67"/>
      <c r="BL305" s="67"/>
      <c r="BM305" s="70"/>
      <c r="BN305" s="70"/>
      <c r="BO305" s="70"/>
      <c r="BP305" s="70"/>
      <c r="BQ305" s="70"/>
      <c r="BR305" s="70"/>
      <c r="BS305" s="70"/>
      <c r="BT305" s="70"/>
      <c r="BU305" s="70"/>
      <c r="BV305" s="70"/>
      <c r="BW305" s="70"/>
      <c r="BX305" s="136"/>
      <c r="BY305" s="70"/>
      <c r="BZ305" s="67"/>
      <c r="CA305" s="67"/>
      <c r="CB305" s="67"/>
    </row>
    <row r="306" spans="1:80" s="28" customFormat="1" ht="16" customHeight="1">
      <c r="A306" s="39"/>
      <c r="B306" s="57"/>
      <c r="C306" s="67"/>
      <c r="D306" s="67"/>
      <c r="E306" s="39"/>
      <c r="F306" s="39"/>
      <c r="G306" s="39"/>
      <c r="H306" s="67"/>
      <c r="I306" s="60"/>
      <c r="J306" s="60"/>
      <c r="K306" s="60"/>
      <c r="L306" s="60"/>
      <c r="M306" s="60"/>
      <c r="N306" s="60"/>
      <c r="O306" s="60"/>
      <c r="P306" s="60"/>
      <c r="Q306" s="60"/>
      <c r="R306" s="60"/>
      <c r="S306" s="70"/>
      <c r="T306" s="70"/>
      <c r="U306" s="70"/>
      <c r="V306" s="70"/>
      <c r="W306" s="70"/>
      <c r="X306" s="70"/>
      <c r="Y306" s="70"/>
      <c r="Z306" s="70"/>
      <c r="AA306" s="70"/>
      <c r="AB306" s="70"/>
      <c r="AC306" s="70"/>
      <c r="AD306" s="136"/>
      <c r="AE306" s="24"/>
      <c r="AF306" s="24"/>
      <c r="AG306" s="73"/>
      <c r="AH306" s="125"/>
      <c r="AI306" s="103"/>
      <c r="AK306" s="113"/>
      <c r="AL306" s="113"/>
      <c r="AM306" s="113"/>
      <c r="AN306" s="113"/>
      <c r="AO306" s="137"/>
      <c r="AP306" s="137"/>
      <c r="AQ306" s="137"/>
      <c r="AR306" s="137"/>
      <c r="AS306" s="137"/>
      <c r="AT306" s="137"/>
      <c r="AU306" s="67"/>
      <c r="AV306" s="44"/>
      <c r="AW306" s="67"/>
      <c r="AX306" s="75"/>
      <c r="AY306" s="123"/>
      <c r="AZ306" s="67"/>
      <c r="BA306" s="138"/>
      <c r="BB306" s="67"/>
      <c r="BC306" s="67"/>
      <c r="BD306" s="67"/>
      <c r="BE306" s="67"/>
      <c r="BF306" s="67"/>
      <c r="BG306" s="67"/>
      <c r="BH306" s="67"/>
      <c r="BI306" s="67"/>
      <c r="BJ306" s="67"/>
      <c r="BK306" s="67"/>
      <c r="BL306" s="67"/>
      <c r="BM306" s="70"/>
      <c r="BN306" s="70"/>
      <c r="BO306" s="70"/>
      <c r="BP306" s="70"/>
      <c r="BQ306" s="70"/>
      <c r="BR306" s="70"/>
      <c r="BS306" s="70"/>
      <c r="BT306" s="70"/>
      <c r="BU306" s="70"/>
      <c r="BV306" s="70"/>
      <c r="BW306" s="70"/>
      <c r="BX306" s="136"/>
      <c r="BY306" s="70"/>
      <c r="BZ306" s="67"/>
      <c r="CA306" s="67"/>
      <c r="CB306" s="67"/>
    </row>
    <row r="307" spans="1:80" s="28" customFormat="1" ht="16" customHeight="1">
      <c r="A307" s="39"/>
      <c r="B307" s="57"/>
      <c r="C307" s="67"/>
      <c r="D307" s="67"/>
      <c r="E307" s="39"/>
      <c r="F307" s="39"/>
      <c r="G307" s="39"/>
      <c r="H307" s="67"/>
      <c r="I307" s="60"/>
      <c r="J307" s="60"/>
      <c r="K307" s="60"/>
      <c r="L307" s="60"/>
      <c r="M307" s="60"/>
      <c r="N307" s="60"/>
      <c r="O307" s="60"/>
      <c r="P307" s="60"/>
      <c r="Q307" s="60"/>
      <c r="R307" s="60"/>
      <c r="S307" s="70"/>
      <c r="T307" s="70"/>
      <c r="U307" s="70"/>
      <c r="V307" s="70"/>
      <c r="W307" s="70"/>
      <c r="X307" s="70"/>
      <c r="Y307" s="70"/>
      <c r="Z307" s="70"/>
      <c r="AA307" s="70"/>
      <c r="AB307" s="70"/>
      <c r="AC307" s="70"/>
      <c r="AD307" s="136"/>
      <c r="AE307" s="24"/>
      <c r="AF307" s="24"/>
      <c r="AG307" s="73"/>
      <c r="AH307" s="125"/>
      <c r="AI307" s="103"/>
      <c r="AK307" s="113"/>
      <c r="AL307" s="113"/>
      <c r="AM307" s="113"/>
      <c r="AN307" s="113"/>
      <c r="AO307" s="137"/>
      <c r="AP307" s="137"/>
      <c r="AQ307" s="137"/>
      <c r="AR307" s="137"/>
      <c r="AS307" s="137"/>
      <c r="AT307" s="137"/>
      <c r="AU307" s="67"/>
      <c r="AV307" s="44"/>
      <c r="AW307" s="67"/>
      <c r="AX307" s="75"/>
      <c r="AY307" s="123"/>
      <c r="AZ307" s="67"/>
      <c r="BA307" s="138"/>
      <c r="BB307" s="67"/>
      <c r="BC307" s="67"/>
      <c r="BD307" s="67"/>
      <c r="BE307" s="67"/>
      <c r="BF307" s="67"/>
      <c r="BG307" s="67"/>
      <c r="BH307" s="67"/>
      <c r="BI307" s="67"/>
      <c r="BJ307" s="67"/>
      <c r="BK307" s="67"/>
      <c r="BL307" s="67"/>
      <c r="BM307" s="70"/>
      <c r="BN307" s="70"/>
      <c r="BO307" s="70"/>
      <c r="BP307" s="70"/>
      <c r="BQ307" s="70"/>
      <c r="BR307" s="70"/>
      <c r="BS307" s="70"/>
      <c r="BT307" s="70"/>
      <c r="BU307" s="70"/>
      <c r="BV307" s="70"/>
      <c r="BW307" s="70"/>
      <c r="BX307" s="136"/>
      <c r="BY307" s="70"/>
      <c r="BZ307" s="67"/>
      <c r="CA307" s="67"/>
      <c r="CB307" s="67"/>
    </row>
    <row r="308" spans="1:80" s="28" customFormat="1" ht="16" customHeight="1">
      <c r="A308" s="39"/>
      <c r="B308" s="57"/>
      <c r="C308" s="67"/>
      <c r="D308" s="67"/>
      <c r="E308" s="39"/>
      <c r="F308" s="39"/>
      <c r="G308" s="39"/>
      <c r="H308" s="67"/>
      <c r="I308" s="60"/>
      <c r="J308" s="60"/>
      <c r="K308" s="60"/>
      <c r="L308" s="60"/>
      <c r="M308" s="60"/>
      <c r="N308" s="60"/>
      <c r="O308" s="60"/>
      <c r="P308" s="60"/>
      <c r="Q308" s="60"/>
      <c r="R308" s="60"/>
      <c r="S308" s="70"/>
      <c r="T308" s="70"/>
      <c r="U308" s="70"/>
      <c r="V308" s="70"/>
      <c r="W308" s="70"/>
      <c r="X308" s="70"/>
      <c r="Y308" s="70"/>
      <c r="Z308" s="70"/>
      <c r="AA308" s="70"/>
      <c r="AB308" s="70"/>
      <c r="AC308" s="70"/>
      <c r="AD308" s="136"/>
      <c r="AE308" s="24"/>
      <c r="AF308" s="24"/>
      <c r="AG308" s="73"/>
      <c r="AH308" s="125"/>
      <c r="AI308" s="103"/>
      <c r="AK308" s="113"/>
      <c r="AL308" s="113"/>
      <c r="AM308" s="113"/>
      <c r="AN308" s="113"/>
      <c r="AO308" s="137"/>
      <c r="AP308" s="137"/>
      <c r="AQ308" s="137"/>
      <c r="AR308" s="137"/>
      <c r="AS308" s="137"/>
      <c r="AT308" s="137"/>
      <c r="AU308" s="67"/>
      <c r="AV308" s="44"/>
      <c r="AW308" s="67"/>
      <c r="AX308" s="75"/>
      <c r="AY308" s="123"/>
      <c r="AZ308" s="67"/>
      <c r="BA308" s="138"/>
      <c r="BB308" s="67"/>
      <c r="BC308" s="67"/>
      <c r="BD308" s="67"/>
      <c r="BE308" s="67"/>
      <c r="BF308" s="67"/>
      <c r="BG308" s="67"/>
      <c r="BH308" s="67"/>
      <c r="BI308" s="67"/>
      <c r="BJ308" s="67"/>
      <c r="BK308" s="67"/>
      <c r="BL308" s="67"/>
      <c r="BM308" s="70"/>
      <c r="BN308" s="70"/>
      <c r="BO308" s="70"/>
      <c r="BP308" s="70"/>
      <c r="BQ308" s="70"/>
      <c r="BR308" s="70"/>
      <c r="BS308" s="70"/>
      <c r="BT308" s="70"/>
      <c r="BU308" s="70"/>
      <c r="BV308" s="70"/>
      <c r="BW308" s="70"/>
      <c r="BX308" s="136"/>
      <c r="BY308" s="70"/>
      <c r="BZ308" s="67"/>
      <c r="CA308" s="67"/>
      <c r="CB308" s="67"/>
    </row>
    <row r="309" spans="1:80" s="28" customFormat="1" ht="16" customHeight="1">
      <c r="A309" s="39"/>
      <c r="B309" s="57"/>
      <c r="C309" s="67"/>
      <c r="D309" s="67"/>
      <c r="E309" s="39"/>
      <c r="F309" s="39"/>
      <c r="G309" s="39"/>
      <c r="H309" s="67"/>
      <c r="I309" s="60"/>
      <c r="J309" s="60"/>
      <c r="K309" s="60"/>
      <c r="L309" s="60"/>
      <c r="M309" s="60"/>
      <c r="N309" s="60"/>
      <c r="O309" s="60"/>
      <c r="P309" s="60"/>
      <c r="Q309" s="60"/>
      <c r="R309" s="60"/>
      <c r="S309" s="70"/>
      <c r="T309" s="70"/>
      <c r="U309" s="70"/>
      <c r="V309" s="70"/>
      <c r="W309" s="70"/>
      <c r="X309" s="70"/>
      <c r="Y309" s="70"/>
      <c r="Z309" s="70"/>
      <c r="AA309" s="70"/>
      <c r="AB309" s="70"/>
      <c r="AC309" s="70"/>
      <c r="AD309" s="136"/>
      <c r="AE309" s="24"/>
      <c r="AF309" s="24"/>
      <c r="AG309" s="73"/>
      <c r="AH309" s="125"/>
      <c r="AI309" s="103"/>
      <c r="AK309" s="113"/>
      <c r="AL309" s="113"/>
      <c r="AM309" s="113"/>
      <c r="AN309" s="113"/>
      <c r="AO309" s="137"/>
      <c r="AP309" s="137"/>
      <c r="AQ309" s="137"/>
      <c r="AR309" s="137"/>
      <c r="AS309" s="137"/>
      <c r="AT309" s="137"/>
      <c r="AU309" s="67"/>
      <c r="AV309" s="44"/>
      <c r="AW309" s="67"/>
      <c r="AX309" s="75"/>
      <c r="AY309" s="123"/>
      <c r="AZ309" s="67"/>
      <c r="BA309" s="138"/>
      <c r="BB309" s="67"/>
      <c r="BC309" s="67"/>
      <c r="BD309" s="67"/>
      <c r="BE309" s="67"/>
      <c r="BF309" s="67"/>
      <c r="BG309" s="67"/>
      <c r="BH309" s="67"/>
      <c r="BI309" s="67"/>
      <c r="BJ309" s="67"/>
      <c r="BK309" s="67"/>
      <c r="BL309" s="67"/>
      <c r="BM309" s="70"/>
      <c r="BN309" s="70"/>
      <c r="BO309" s="70"/>
      <c r="BP309" s="70"/>
      <c r="BQ309" s="70"/>
      <c r="BR309" s="70"/>
      <c r="BS309" s="70"/>
      <c r="BT309" s="70"/>
      <c r="BU309" s="70"/>
      <c r="BV309" s="70"/>
      <c r="BW309" s="70"/>
      <c r="BX309" s="136"/>
      <c r="BY309" s="70"/>
      <c r="BZ309" s="67"/>
      <c r="CA309" s="67"/>
      <c r="CB309" s="67"/>
    </row>
    <row r="310" spans="1:80" s="28" customFormat="1" ht="16" customHeight="1">
      <c r="A310" s="39"/>
      <c r="B310" s="57"/>
      <c r="C310" s="67"/>
      <c r="D310" s="67"/>
      <c r="E310" s="39"/>
      <c r="F310" s="39"/>
      <c r="G310" s="39"/>
      <c r="H310" s="67"/>
      <c r="I310" s="60"/>
      <c r="J310" s="60"/>
      <c r="K310" s="60"/>
      <c r="L310" s="60"/>
      <c r="M310" s="60"/>
      <c r="N310" s="60"/>
      <c r="O310" s="60"/>
      <c r="P310" s="60"/>
      <c r="Q310" s="60"/>
      <c r="R310" s="60"/>
      <c r="S310" s="70"/>
      <c r="T310" s="70"/>
      <c r="U310" s="70"/>
      <c r="V310" s="70"/>
      <c r="W310" s="70"/>
      <c r="X310" s="70"/>
      <c r="Y310" s="70"/>
      <c r="Z310" s="70"/>
      <c r="AA310" s="70"/>
      <c r="AB310" s="70"/>
      <c r="AC310" s="70"/>
      <c r="AD310" s="136"/>
      <c r="AE310" s="24"/>
      <c r="AF310" s="24"/>
      <c r="AG310" s="73"/>
      <c r="AH310" s="125"/>
      <c r="AI310" s="103"/>
      <c r="AK310" s="113"/>
      <c r="AL310" s="113"/>
      <c r="AM310" s="113"/>
      <c r="AN310" s="113"/>
      <c r="AO310" s="137"/>
      <c r="AP310" s="137"/>
      <c r="AQ310" s="137"/>
      <c r="AR310" s="137"/>
      <c r="AS310" s="137"/>
      <c r="AT310" s="137"/>
      <c r="AU310" s="67"/>
      <c r="AV310" s="44"/>
      <c r="AW310" s="67"/>
      <c r="AX310" s="75"/>
      <c r="AY310" s="123"/>
      <c r="AZ310" s="67"/>
      <c r="BA310" s="138"/>
      <c r="BB310" s="67"/>
      <c r="BC310" s="67"/>
      <c r="BD310" s="67"/>
      <c r="BE310" s="67"/>
      <c r="BF310" s="67"/>
      <c r="BG310" s="67"/>
      <c r="BH310" s="67"/>
      <c r="BI310" s="67"/>
      <c r="BJ310" s="67"/>
      <c r="BK310" s="67"/>
      <c r="BL310" s="67"/>
      <c r="BM310" s="70"/>
      <c r="BN310" s="70"/>
      <c r="BO310" s="70"/>
      <c r="BP310" s="70"/>
      <c r="BQ310" s="70"/>
      <c r="BR310" s="70"/>
      <c r="BS310" s="70"/>
      <c r="BT310" s="70"/>
      <c r="BU310" s="70"/>
      <c r="BV310" s="70"/>
      <c r="BW310" s="70"/>
      <c r="BX310" s="136"/>
      <c r="BY310" s="70"/>
      <c r="BZ310" s="67"/>
      <c r="CA310" s="67"/>
      <c r="CB310" s="67"/>
    </row>
    <row r="311" spans="1:80" s="28" customFormat="1" ht="16" customHeight="1">
      <c r="A311" s="39"/>
      <c r="B311" s="57"/>
      <c r="C311" s="67"/>
      <c r="D311" s="67"/>
      <c r="E311" s="39"/>
      <c r="F311" s="39"/>
      <c r="G311" s="39"/>
      <c r="H311" s="67"/>
      <c r="I311" s="60"/>
      <c r="J311" s="60"/>
      <c r="K311" s="60"/>
      <c r="L311" s="60"/>
      <c r="M311" s="60"/>
      <c r="N311" s="60"/>
      <c r="O311" s="60"/>
      <c r="P311" s="60"/>
      <c r="Q311" s="60"/>
      <c r="R311" s="60"/>
      <c r="S311" s="70"/>
      <c r="T311" s="70"/>
      <c r="U311" s="70"/>
      <c r="V311" s="70"/>
      <c r="W311" s="70"/>
      <c r="X311" s="70"/>
      <c r="Y311" s="70"/>
      <c r="Z311" s="70"/>
      <c r="AA311" s="70"/>
      <c r="AB311" s="70"/>
      <c r="AC311" s="70"/>
      <c r="AD311" s="136"/>
      <c r="AE311" s="24"/>
      <c r="AF311" s="24"/>
      <c r="AG311" s="73"/>
      <c r="AH311" s="125"/>
      <c r="AI311" s="103"/>
      <c r="AK311" s="113"/>
      <c r="AL311" s="113"/>
      <c r="AM311" s="113"/>
      <c r="AN311" s="113"/>
      <c r="AO311" s="137"/>
      <c r="AP311" s="137"/>
      <c r="AQ311" s="137"/>
      <c r="AR311" s="137"/>
      <c r="AS311" s="137"/>
      <c r="AT311" s="137"/>
      <c r="AU311" s="67"/>
      <c r="AV311" s="44"/>
      <c r="AW311" s="67"/>
      <c r="AX311" s="75"/>
      <c r="AY311" s="123"/>
      <c r="AZ311" s="67"/>
      <c r="BA311" s="138"/>
      <c r="BB311" s="67"/>
      <c r="BC311" s="67"/>
      <c r="BD311" s="67"/>
      <c r="BE311" s="67"/>
      <c r="BF311" s="67"/>
      <c r="BG311" s="67"/>
      <c r="BH311" s="67"/>
      <c r="BI311" s="67"/>
      <c r="BJ311" s="67"/>
      <c r="BK311" s="67"/>
      <c r="BL311" s="67"/>
      <c r="BM311" s="70"/>
      <c r="BN311" s="70"/>
      <c r="BO311" s="70"/>
      <c r="BP311" s="70"/>
      <c r="BQ311" s="70"/>
      <c r="BR311" s="70"/>
      <c r="BS311" s="70"/>
      <c r="BT311" s="70"/>
      <c r="BU311" s="70"/>
      <c r="BV311" s="70"/>
      <c r="BW311" s="70"/>
      <c r="BX311" s="136"/>
      <c r="BY311" s="70"/>
      <c r="BZ311" s="67"/>
      <c r="CA311" s="67"/>
      <c r="CB311" s="67"/>
    </row>
    <row r="312" spans="1:80" s="28" customFormat="1" ht="16" customHeight="1">
      <c r="A312" s="39"/>
      <c r="B312" s="57"/>
      <c r="C312" s="67"/>
      <c r="D312" s="67"/>
      <c r="E312" s="39"/>
      <c r="F312" s="39"/>
      <c r="G312" s="39"/>
      <c r="H312" s="67"/>
      <c r="I312" s="60"/>
      <c r="J312" s="60"/>
      <c r="K312" s="60"/>
      <c r="L312" s="60"/>
      <c r="M312" s="60"/>
      <c r="N312" s="60"/>
      <c r="O312" s="60"/>
      <c r="P312" s="60"/>
      <c r="Q312" s="60"/>
      <c r="R312" s="60"/>
      <c r="S312" s="70"/>
      <c r="T312" s="70"/>
      <c r="U312" s="70"/>
      <c r="V312" s="70"/>
      <c r="W312" s="70"/>
      <c r="X312" s="70"/>
      <c r="Y312" s="70"/>
      <c r="Z312" s="70"/>
      <c r="AA312" s="70"/>
      <c r="AB312" s="70"/>
      <c r="AC312" s="70"/>
      <c r="AD312" s="136"/>
      <c r="AE312" s="24"/>
      <c r="AF312" s="24"/>
      <c r="AG312" s="73"/>
      <c r="AH312" s="125"/>
      <c r="AI312" s="103"/>
      <c r="AK312" s="113"/>
      <c r="AL312" s="113"/>
      <c r="AM312" s="113"/>
      <c r="AN312" s="113"/>
      <c r="AO312" s="137"/>
      <c r="AP312" s="137"/>
      <c r="AQ312" s="137"/>
      <c r="AR312" s="137"/>
      <c r="AS312" s="137"/>
      <c r="AT312" s="137"/>
      <c r="AU312" s="67"/>
      <c r="AV312" s="44"/>
      <c r="AW312" s="67"/>
      <c r="AX312" s="75"/>
      <c r="AY312" s="123"/>
      <c r="AZ312" s="67"/>
      <c r="BA312" s="138"/>
      <c r="BB312" s="67"/>
      <c r="BC312" s="67"/>
      <c r="BD312" s="67"/>
      <c r="BE312" s="67"/>
      <c r="BF312" s="67"/>
      <c r="BG312" s="67"/>
      <c r="BH312" s="67"/>
      <c r="BI312" s="67"/>
      <c r="BJ312" s="67"/>
      <c r="BK312" s="67"/>
      <c r="BL312" s="67"/>
      <c r="BM312" s="70"/>
      <c r="BN312" s="70"/>
      <c r="BO312" s="70"/>
      <c r="BP312" s="70"/>
      <c r="BQ312" s="70"/>
      <c r="BR312" s="70"/>
      <c r="BS312" s="70"/>
      <c r="BT312" s="70"/>
      <c r="BU312" s="70"/>
      <c r="BV312" s="70"/>
      <c r="BW312" s="70"/>
      <c r="BX312" s="136"/>
      <c r="BY312" s="70"/>
      <c r="BZ312" s="67"/>
      <c r="CA312" s="67"/>
      <c r="CB312" s="67"/>
    </row>
    <row r="313" spans="1:80" s="28" customFormat="1" ht="16" customHeight="1">
      <c r="A313" s="39"/>
      <c r="B313" s="57"/>
      <c r="C313" s="67"/>
      <c r="D313" s="67"/>
      <c r="E313" s="39"/>
      <c r="F313" s="39"/>
      <c r="G313" s="39"/>
      <c r="H313" s="67"/>
      <c r="I313" s="60"/>
      <c r="J313" s="60"/>
      <c r="K313" s="60"/>
      <c r="L313" s="60"/>
      <c r="M313" s="60"/>
      <c r="N313" s="60"/>
      <c r="O313" s="60"/>
      <c r="P313" s="60"/>
      <c r="Q313" s="60"/>
      <c r="R313" s="60"/>
      <c r="S313" s="70"/>
      <c r="T313" s="70"/>
      <c r="U313" s="70"/>
      <c r="V313" s="70"/>
      <c r="W313" s="70"/>
      <c r="X313" s="70"/>
      <c r="Y313" s="70"/>
      <c r="Z313" s="70"/>
      <c r="AA313" s="70"/>
      <c r="AB313" s="70"/>
      <c r="AC313" s="70"/>
      <c r="AD313" s="136"/>
      <c r="AE313" s="24"/>
      <c r="AF313" s="24"/>
      <c r="AG313" s="73"/>
      <c r="AH313" s="125"/>
      <c r="AI313" s="103"/>
      <c r="AK313" s="113"/>
      <c r="AL313" s="113"/>
      <c r="AM313" s="113"/>
      <c r="AN313" s="113"/>
      <c r="AO313" s="137"/>
      <c r="AP313" s="137"/>
      <c r="AQ313" s="137"/>
      <c r="AR313" s="137"/>
      <c r="AS313" s="137"/>
      <c r="AT313" s="137"/>
      <c r="AU313" s="67"/>
      <c r="AV313" s="44"/>
      <c r="AW313" s="67"/>
      <c r="AX313" s="75"/>
      <c r="AY313" s="123"/>
      <c r="AZ313" s="67"/>
      <c r="BA313" s="138"/>
      <c r="BB313" s="67"/>
      <c r="BC313" s="67"/>
      <c r="BD313" s="67"/>
      <c r="BE313" s="67"/>
      <c r="BF313" s="67"/>
      <c r="BG313" s="67"/>
      <c r="BH313" s="67"/>
      <c r="BI313" s="67"/>
      <c r="BJ313" s="67"/>
      <c r="BK313" s="67"/>
      <c r="BL313" s="67"/>
      <c r="BM313" s="70"/>
      <c r="BN313" s="70"/>
      <c r="BO313" s="70"/>
      <c r="BP313" s="70"/>
      <c r="BQ313" s="70"/>
      <c r="BR313" s="70"/>
      <c r="BS313" s="70"/>
      <c r="BT313" s="70"/>
      <c r="BU313" s="70"/>
      <c r="BV313" s="70"/>
      <c r="BW313" s="70"/>
      <c r="BX313" s="136"/>
      <c r="BY313" s="70"/>
      <c r="BZ313" s="67"/>
      <c r="CA313" s="67"/>
      <c r="CB313" s="67"/>
    </row>
    <row r="314" spans="1:80" s="28" customFormat="1" ht="16" customHeight="1">
      <c r="A314" s="39"/>
      <c r="B314" s="57"/>
      <c r="C314" s="67"/>
      <c r="D314" s="67"/>
      <c r="E314" s="39"/>
      <c r="F314" s="39"/>
      <c r="G314" s="39"/>
      <c r="H314" s="67"/>
      <c r="I314" s="60"/>
      <c r="J314" s="60"/>
      <c r="K314" s="60"/>
      <c r="L314" s="60"/>
      <c r="M314" s="60"/>
      <c r="N314" s="60"/>
      <c r="O314" s="60"/>
      <c r="P314" s="60"/>
      <c r="Q314" s="60"/>
      <c r="R314" s="60"/>
      <c r="S314" s="70"/>
      <c r="T314" s="70"/>
      <c r="U314" s="70"/>
      <c r="V314" s="70"/>
      <c r="W314" s="70"/>
      <c r="X314" s="70"/>
      <c r="Y314" s="70"/>
      <c r="Z314" s="70"/>
      <c r="AA314" s="70"/>
      <c r="AB314" s="70"/>
      <c r="AC314" s="70"/>
      <c r="AD314" s="136"/>
      <c r="AE314" s="24"/>
      <c r="AF314" s="24"/>
      <c r="AG314" s="73"/>
      <c r="AH314" s="125"/>
      <c r="AI314" s="103"/>
      <c r="AK314" s="113"/>
      <c r="AL314" s="113"/>
      <c r="AM314" s="113"/>
      <c r="AN314" s="113"/>
      <c r="AO314" s="137"/>
      <c r="AP314" s="137"/>
      <c r="AQ314" s="137"/>
      <c r="AR314" s="137"/>
      <c r="AS314" s="137"/>
      <c r="AT314" s="137"/>
      <c r="AU314" s="67"/>
      <c r="AV314" s="44"/>
      <c r="AW314" s="67"/>
      <c r="AX314" s="75"/>
      <c r="AY314" s="123"/>
      <c r="AZ314" s="67"/>
      <c r="BA314" s="138"/>
      <c r="BB314" s="67"/>
      <c r="BC314" s="67"/>
      <c r="BD314" s="67"/>
      <c r="BE314" s="67"/>
      <c r="BF314" s="67"/>
      <c r="BG314" s="67"/>
      <c r="BH314" s="67"/>
      <c r="BI314" s="67"/>
      <c r="BJ314" s="67"/>
      <c r="BK314" s="67"/>
      <c r="BL314" s="67"/>
      <c r="BM314" s="70"/>
      <c r="BN314" s="70"/>
      <c r="BO314" s="70"/>
      <c r="BP314" s="70"/>
      <c r="BQ314" s="70"/>
      <c r="BR314" s="70"/>
      <c r="BS314" s="70"/>
      <c r="BT314" s="70"/>
      <c r="BU314" s="70"/>
      <c r="BV314" s="70"/>
      <c r="BW314" s="70"/>
      <c r="BX314" s="136"/>
      <c r="BY314" s="70"/>
      <c r="BZ314" s="67"/>
      <c r="CA314" s="67"/>
      <c r="CB314" s="67"/>
    </row>
    <row r="315" spans="1:80" s="28" customFormat="1" ht="16" customHeight="1">
      <c r="A315" s="39"/>
      <c r="B315" s="57"/>
      <c r="C315" s="67"/>
      <c r="D315" s="67"/>
      <c r="E315" s="39"/>
      <c r="F315" s="39"/>
      <c r="G315" s="39"/>
      <c r="H315" s="67"/>
      <c r="I315" s="60"/>
      <c r="J315" s="60"/>
      <c r="K315" s="60"/>
      <c r="L315" s="60"/>
      <c r="M315" s="60"/>
      <c r="N315" s="60"/>
      <c r="O315" s="60"/>
      <c r="P315" s="60"/>
      <c r="Q315" s="60"/>
      <c r="R315" s="60"/>
      <c r="S315" s="70"/>
      <c r="T315" s="70"/>
      <c r="U315" s="70"/>
      <c r="V315" s="70"/>
      <c r="W315" s="70"/>
      <c r="X315" s="70"/>
      <c r="Y315" s="70"/>
      <c r="Z315" s="70"/>
      <c r="AA315" s="70"/>
      <c r="AB315" s="70"/>
      <c r="AC315" s="70"/>
      <c r="AD315" s="136"/>
      <c r="AE315" s="24"/>
      <c r="AF315" s="24"/>
      <c r="AG315" s="73"/>
      <c r="AH315" s="125"/>
      <c r="AI315" s="103"/>
      <c r="AK315" s="113"/>
      <c r="AL315" s="113"/>
      <c r="AM315" s="113"/>
      <c r="AN315" s="113"/>
      <c r="AO315" s="137"/>
      <c r="AP315" s="137"/>
      <c r="AQ315" s="137"/>
      <c r="AR315" s="137"/>
      <c r="AS315" s="137"/>
      <c r="AT315" s="137"/>
      <c r="AU315" s="67"/>
      <c r="AV315" s="44"/>
      <c r="AW315" s="67"/>
      <c r="AX315" s="75"/>
      <c r="AY315" s="123"/>
      <c r="AZ315" s="67"/>
      <c r="BA315" s="138"/>
      <c r="BB315" s="67"/>
      <c r="BC315" s="67"/>
      <c r="BD315" s="67"/>
      <c r="BE315" s="67"/>
      <c r="BF315" s="67"/>
      <c r="BG315" s="67"/>
      <c r="BH315" s="67"/>
      <c r="BI315" s="67"/>
      <c r="BJ315" s="67"/>
      <c r="BK315" s="67"/>
      <c r="BL315" s="67"/>
      <c r="BM315" s="70"/>
      <c r="BN315" s="70"/>
      <c r="BO315" s="70"/>
      <c r="BP315" s="70"/>
      <c r="BQ315" s="70"/>
      <c r="BR315" s="70"/>
      <c r="BS315" s="70"/>
      <c r="BT315" s="70"/>
      <c r="BU315" s="70"/>
      <c r="BV315" s="70"/>
      <c r="BW315" s="70"/>
      <c r="BX315" s="136"/>
      <c r="BY315" s="70"/>
      <c r="BZ315" s="67"/>
      <c r="CA315" s="67"/>
      <c r="CB315" s="67"/>
    </row>
    <row r="316" spans="1:80" s="28" customFormat="1" ht="16" customHeight="1">
      <c r="A316" s="39"/>
      <c r="B316" s="57"/>
      <c r="C316" s="67"/>
      <c r="D316" s="67"/>
      <c r="E316" s="39"/>
      <c r="F316" s="39"/>
      <c r="G316" s="39"/>
      <c r="H316" s="67"/>
      <c r="I316" s="60"/>
      <c r="J316" s="60"/>
      <c r="K316" s="60"/>
      <c r="L316" s="60"/>
      <c r="M316" s="60"/>
      <c r="N316" s="60"/>
      <c r="O316" s="60"/>
      <c r="P316" s="60"/>
      <c r="Q316" s="60"/>
      <c r="R316" s="60"/>
      <c r="S316" s="70"/>
      <c r="T316" s="70"/>
      <c r="U316" s="70"/>
      <c r="V316" s="70"/>
      <c r="W316" s="70"/>
      <c r="X316" s="70"/>
      <c r="Y316" s="70"/>
      <c r="Z316" s="70"/>
      <c r="AA316" s="70"/>
      <c r="AB316" s="70"/>
      <c r="AC316" s="70"/>
      <c r="AD316" s="136"/>
      <c r="AE316" s="24"/>
      <c r="AF316" s="24"/>
      <c r="AG316" s="73"/>
      <c r="AH316" s="125"/>
      <c r="AI316" s="103"/>
      <c r="AK316" s="113"/>
      <c r="AL316" s="113"/>
      <c r="AM316" s="113"/>
      <c r="AN316" s="113"/>
      <c r="AO316" s="137"/>
      <c r="AP316" s="137"/>
      <c r="AQ316" s="137"/>
      <c r="AR316" s="137"/>
      <c r="AS316" s="137"/>
      <c r="AT316" s="137"/>
      <c r="AU316" s="67"/>
      <c r="AV316" s="44"/>
      <c r="AW316" s="67"/>
      <c r="AX316" s="75"/>
      <c r="AY316" s="123"/>
      <c r="AZ316" s="67"/>
      <c r="BA316" s="138"/>
      <c r="BB316" s="67"/>
      <c r="BC316" s="67"/>
      <c r="BD316" s="67"/>
      <c r="BE316" s="67"/>
      <c r="BF316" s="67"/>
      <c r="BG316" s="67"/>
      <c r="BH316" s="67"/>
      <c r="BI316" s="67"/>
      <c r="BJ316" s="67"/>
      <c r="BK316" s="67"/>
      <c r="BL316" s="67"/>
      <c r="BM316" s="70"/>
      <c r="BN316" s="70"/>
      <c r="BO316" s="70"/>
      <c r="BP316" s="70"/>
      <c r="BQ316" s="70"/>
      <c r="BR316" s="70"/>
      <c r="BS316" s="70"/>
      <c r="BT316" s="70"/>
      <c r="BU316" s="70"/>
      <c r="BV316" s="70"/>
      <c r="BW316" s="70"/>
      <c r="BX316" s="136"/>
      <c r="BY316" s="70"/>
      <c r="BZ316" s="67"/>
      <c r="CA316" s="67"/>
      <c r="CB316" s="67"/>
    </row>
    <row r="317" spans="1:80" s="28" customFormat="1" ht="16" customHeight="1">
      <c r="A317" s="39"/>
      <c r="B317" s="57"/>
      <c r="C317" s="67"/>
      <c r="D317" s="67"/>
      <c r="E317" s="39"/>
      <c r="F317" s="39"/>
      <c r="G317" s="39"/>
      <c r="H317" s="67"/>
      <c r="I317" s="60"/>
      <c r="J317" s="60"/>
      <c r="K317" s="60"/>
      <c r="L317" s="60"/>
      <c r="M317" s="60"/>
      <c r="N317" s="60"/>
      <c r="O317" s="60"/>
      <c r="P317" s="60"/>
      <c r="Q317" s="60"/>
      <c r="R317" s="60"/>
      <c r="S317" s="70"/>
      <c r="T317" s="70"/>
      <c r="U317" s="70"/>
      <c r="V317" s="70"/>
      <c r="W317" s="70"/>
      <c r="X317" s="70"/>
      <c r="Y317" s="70"/>
      <c r="Z317" s="70"/>
      <c r="AA317" s="70"/>
      <c r="AB317" s="70"/>
      <c r="AC317" s="70"/>
      <c r="AD317" s="136"/>
      <c r="AE317" s="24"/>
      <c r="AF317" s="24"/>
      <c r="AG317" s="73"/>
      <c r="AH317" s="125"/>
      <c r="AI317" s="103"/>
      <c r="AK317" s="113"/>
      <c r="AL317" s="113"/>
      <c r="AM317" s="113"/>
      <c r="AN317" s="113"/>
      <c r="AO317" s="137"/>
      <c r="AP317" s="137"/>
      <c r="AQ317" s="137"/>
      <c r="AR317" s="137"/>
      <c r="AS317" s="137"/>
      <c r="AT317" s="137"/>
      <c r="AU317" s="67"/>
      <c r="AV317" s="44"/>
      <c r="AW317" s="67"/>
      <c r="AX317" s="75"/>
      <c r="AY317" s="123"/>
      <c r="AZ317" s="67"/>
      <c r="BA317" s="138"/>
      <c r="BB317" s="67"/>
      <c r="BC317" s="67"/>
      <c r="BD317" s="67"/>
      <c r="BE317" s="67"/>
      <c r="BF317" s="67"/>
      <c r="BG317" s="67"/>
      <c r="BH317" s="67"/>
      <c r="BI317" s="67"/>
      <c r="BJ317" s="67"/>
      <c r="BK317" s="67"/>
      <c r="BL317" s="67"/>
      <c r="BM317" s="70"/>
      <c r="BN317" s="70"/>
      <c r="BO317" s="70"/>
      <c r="BP317" s="70"/>
      <c r="BQ317" s="70"/>
      <c r="BR317" s="70"/>
      <c r="BS317" s="70"/>
      <c r="BT317" s="70"/>
      <c r="BU317" s="70"/>
      <c r="BV317" s="70"/>
      <c r="BW317" s="70"/>
      <c r="BX317" s="136"/>
      <c r="BY317" s="70"/>
      <c r="BZ317" s="67"/>
      <c r="CA317" s="67"/>
      <c r="CB317" s="67"/>
    </row>
    <row r="318" spans="1:80" s="28" customFormat="1" ht="16" customHeight="1">
      <c r="A318" s="39"/>
      <c r="B318" s="57"/>
      <c r="C318" s="67"/>
      <c r="D318" s="67"/>
      <c r="E318" s="39"/>
      <c r="F318" s="39"/>
      <c r="G318" s="39"/>
      <c r="H318" s="67"/>
      <c r="I318" s="60"/>
      <c r="J318" s="60"/>
      <c r="K318" s="60"/>
      <c r="L318" s="60"/>
      <c r="M318" s="60"/>
      <c r="N318" s="60"/>
      <c r="O318" s="60"/>
      <c r="P318" s="60"/>
      <c r="Q318" s="60"/>
      <c r="R318" s="60"/>
      <c r="S318" s="70"/>
      <c r="T318" s="70"/>
      <c r="U318" s="70"/>
      <c r="V318" s="70"/>
      <c r="W318" s="70"/>
      <c r="X318" s="70"/>
      <c r="Y318" s="70"/>
      <c r="Z318" s="70"/>
      <c r="AA318" s="70"/>
      <c r="AB318" s="70"/>
      <c r="AC318" s="70"/>
      <c r="AD318" s="136"/>
      <c r="AE318" s="24"/>
      <c r="AF318" s="24"/>
      <c r="AG318" s="73"/>
      <c r="AH318" s="125"/>
      <c r="AI318" s="103"/>
      <c r="AK318" s="113"/>
      <c r="AL318" s="113"/>
      <c r="AM318" s="113"/>
      <c r="AN318" s="113"/>
      <c r="AO318" s="137"/>
      <c r="AP318" s="137"/>
      <c r="AQ318" s="137"/>
      <c r="AR318" s="137"/>
      <c r="AS318" s="137"/>
      <c r="AT318" s="137"/>
      <c r="AU318" s="67"/>
      <c r="AV318" s="44"/>
      <c r="AW318" s="67"/>
      <c r="AX318" s="75"/>
      <c r="AY318" s="123"/>
      <c r="AZ318" s="67"/>
      <c r="BA318" s="138"/>
      <c r="BB318" s="67"/>
      <c r="BC318" s="67"/>
      <c r="BD318" s="67"/>
      <c r="BE318" s="67"/>
      <c r="BF318" s="67"/>
      <c r="BG318" s="67"/>
      <c r="BH318" s="67"/>
      <c r="BI318" s="67"/>
      <c r="BJ318" s="67"/>
      <c r="BK318" s="67"/>
      <c r="BL318" s="67"/>
      <c r="BM318" s="70"/>
      <c r="BN318" s="70"/>
      <c r="BO318" s="70"/>
      <c r="BP318" s="70"/>
      <c r="BQ318" s="70"/>
      <c r="BR318" s="70"/>
      <c r="BS318" s="70"/>
      <c r="BT318" s="70"/>
      <c r="BU318" s="70"/>
      <c r="BV318" s="70"/>
      <c r="BW318" s="70"/>
      <c r="BX318" s="136"/>
      <c r="BY318" s="70"/>
      <c r="BZ318" s="67"/>
      <c r="CA318" s="67"/>
      <c r="CB318" s="67"/>
    </row>
    <row r="319" spans="1:80" s="28" customFormat="1" ht="16" customHeight="1">
      <c r="A319" s="39"/>
      <c r="B319" s="57"/>
      <c r="C319" s="67"/>
      <c r="D319" s="67"/>
      <c r="E319" s="39"/>
      <c r="F319" s="39"/>
      <c r="G319" s="39"/>
      <c r="H319" s="67"/>
      <c r="I319" s="60"/>
      <c r="J319" s="60"/>
      <c r="K319" s="60"/>
      <c r="L319" s="60"/>
      <c r="M319" s="60"/>
      <c r="N319" s="60"/>
      <c r="O319" s="60"/>
      <c r="P319" s="60"/>
      <c r="Q319" s="60"/>
      <c r="R319" s="60"/>
      <c r="S319" s="70"/>
      <c r="T319" s="70"/>
      <c r="U319" s="70"/>
      <c r="V319" s="70"/>
      <c r="W319" s="70"/>
      <c r="X319" s="70"/>
      <c r="Y319" s="70"/>
      <c r="Z319" s="70"/>
      <c r="AA319" s="70"/>
      <c r="AB319" s="70"/>
      <c r="AC319" s="70"/>
      <c r="AD319" s="136"/>
      <c r="AE319" s="24"/>
      <c r="AF319" s="24"/>
      <c r="AG319" s="73"/>
      <c r="AH319" s="125"/>
      <c r="AI319" s="103"/>
      <c r="AK319" s="113"/>
      <c r="AL319" s="113"/>
      <c r="AM319" s="113"/>
      <c r="AN319" s="113"/>
      <c r="AO319" s="137"/>
      <c r="AP319" s="137"/>
      <c r="AQ319" s="137"/>
      <c r="AR319" s="137"/>
      <c r="AS319" s="137"/>
      <c r="AT319" s="137"/>
      <c r="AU319" s="67"/>
      <c r="AV319" s="44"/>
      <c r="AW319" s="67"/>
      <c r="AX319" s="75"/>
      <c r="AY319" s="123"/>
      <c r="AZ319" s="67"/>
      <c r="BA319" s="138"/>
      <c r="BB319" s="67"/>
      <c r="BC319" s="67"/>
      <c r="BD319" s="67"/>
      <c r="BE319" s="67"/>
      <c r="BF319" s="67"/>
      <c r="BG319" s="67"/>
      <c r="BH319" s="67"/>
      <c r="BI319" s="67"/>
      <c r="BJ319" s="67"/>
      <c r="BK319" s="67"/>
      <c r="BL319" s="67"/>
      <c r="BM319" s="70"/>
      <c r="BN319" s="70"/>
      <c r="BO319" s="70"/>
      <c r="BP319" s="70"/>
      <c r="BQ319" s="70"/>
      <c r="BR319" s="70"/>
      <c r="BS319" s="70"/>
      <c r="BT319" s="70"/>
      <c r="BU319" s="70"/>
      <c r="BV319" s="70"/>
      <c r="BW319" s="70"/>
      <c r="BX319" s="136"/>
      <c r="BY319" s="70"/>
      <c r="BZ319" s="67"/>
      <c r="CA319" s="67"/>
      <c r="CB319" s="67"/>
    </row>
    <row r="320" spans="1:80" s="28" customFormat="1" ht="16" customHeight="1">
      <c r="A320" s="39"/>
      <c r="B320" s="57"/>
      <c r="C320" s="67"/>
      <c r="D320" s="67"/>
      <c r="E320" s="39"/>
      <c r="F320" s="39"/>
      <c r="G320" s="39"/>
      <c r="H320" s="67"/>
      <c r="I320" s="60"/>
      <c r="J320" s="60"/>
      <c r="K320" s="60"/>
      <c r="L320" s="60"/>
      <c r="M320" s="60"/>
      <c r="N320" s="60"/>
      <c r="O320" s="60"/>
      <c r="P320" s="60"/>
      <c r="Q320" s="60"/>
      <c r="R320" s="60"/>
      <c r="S320" s="70"/>
      <c r="T320" s="70"/>
      <c r="U320" s="70"/>
      <c r="V320" s="70"/>
      <c r="W320" s="70"/>
      <c r="X320" s="70"/>
      <c r="Y320" s="70"/>
      <c r="Z320" s="70"/>
      <c r="AA320" s="70"/>
      <c r="AB320" s="70"/>
      <c r="AC320" s="70"/>
      <c r="AD320" s="136"/>
      <c r="AE320" s="24"/>
      <c r="AF320" s="24"/>
      <c r="AG320" s="73"/>
      <c r="AH320" s="125"/>
      <c r="AI320" s="103"/>
      <c r="AK320" s="113"/>
      <c r="AL320" s="113"/>
      <c r="AM320" s="113"/>
      <c r="AN320" s="113"/>
      <c r="AO320" s="137"/>
      <c r="AP320" s="137"/>
      <c r="AQ320" s="137"/>
      <c r="AR320" s="137"/>
      <c r="AS320" s="137"/>
      <c r="AT320" s="137"/>
      <c r="AU320" s="67"/>
      <c r="AV320" s="44"/>
      <c r="AW320" s="67"/>
      <c r="AX320" s="75"/>
      <c r="AY320" s="123"/>
      <c r="AZ320" s="67"/>
      <c r="BA320" s="138"/>
      <c r="BB320" s="67"/>
      <c r="BC320" s="67"/>
      <c r="BD320" s="67"/>
      <c r="BE320" s="67"/>
      <c r="BF320" s="67"/>
      <c r="BG320" s="67"/>
      <c r="BH320" s="67"/>
      <c r="BI320" s="67"/>
      <c r="BJ320" s="67"/>
      <c r="BK320" s="67"/>
      <c r="BL320" s="67"/>
      <c r="BM320" s="70"/>
      <c r="BN320" s="70"/>
      <c r="BO320" s="70"/>
      <c r="BP320" s="70"/>
      <c r="BQ320" s="70"/>
      <c r="BR320" s="70"/>
      <c r="BS320" s="70"/>
      <c r="BT320" s="70"/>
      <c r="BU320" s="70"/>
      <c r="BV320" s="70"/>
      <c r="BW320" s="70"/>
      <c r="BX320" s="136"/>
      <c r="BY320" s="70"/>
      <c r="BZ320" s="67"/>
      <c r="CA320" s="67"/>
      <c r="CB320" s="67"/>
    </row>
    <row r="321" spans="1:80" s="28" customFormat="1" ht="16" customHeight="1">
      <c r="A321" s="39"/>
      <c r="B321" s="57"/>
      <c r="C321" s="67"/>
      <c r="D321" s="67"/>
      <c r="E321" s="39"/>
      <c r="F321" s="39"/>
      <c r="G321" s="39"/>
      <c r="H321" s="67"/>
      <c r="I321" s="60"/>
      <c r="J321" s="60"/>
      <c r="K321" s="60"/>
      <c r="L321" s="60"/>
      <c r="M321" s="60"/>
      <c r="N321" s="60"/>
      <c r="O321" s="60"/>
      <c r="P321" s="60"/>
      <c r="Q321" s="60"/>
      <c r="R321" s="60"/>
      <c r="S321" s="70"/>
      <c r="T321" s="70"/>
      <c r="U321" s="70"/>
      <c r="V321" s="70"/>
      <c r="W321" s="70"/>
      <c r="X321" s="70"/>
      <c r="Y321" s="70"/>
      <c r="Z321" s="70"/>
      <c r="AA321" s="70"/>
      <c r="AB321" s="70"/>
      <c r="AC321" s="70"/>
      <c r="AD321" s="136"/>
      <c r="AE321" s="24"/>
      <c r="AF321" s="24"/>
      <c r="AG321" s="73"/>
      <c r="AH321" s="125"/>
      <c r="AI321" s="103"/>
      <c r="AK321" s="113"/>
      <c r="AL321" s="113"/>
      <c r="AM321" s="113"/>
      <c r="AN321" s="113"/>
      <c r="AO321" s="137"/>
      <c r="AP321" s="137"/>
      <c r="AQ321" s="137"/>
      <c r="AR321" s="137"/>
      <c r="AS321" s="137"/>
      <c r="AT321" s="137"/>
      <c r="AU321" s="67"/>
      <c r="AV321" s="44"/>
      <c r="AW321" s="67"/>
      <c r="AX321" s="75"/>
      <c r="AY321" s="123"/>
      <c r="AZ321" s="67"/>
      <c r="BA321" s="138"/>
      <c r="BB321" s="67"/>
      <c r="BC321" s="67"/>
      <c r="BD321" s="67"/>
      <c r="BE321" s="67"/>
      <c r="BF321" s="67"/>
      <c r="BG321" s="67"/>
      <c r="BH321" s="67"/>
      <c r="BI321" s="67"/>
      <c r="BJ321" s="67"/>
      <c r="BK321" s="67"/>
      <c r="BL321" s="67"/>
      <c r="BM321" s="70"/>
      <c r="BN321" s="70"/>
      <c r="BO321" s="70"/>
      <c r="BP321" s="70"/>
      <c r="BQ321" s="70"/>
      <c r="BR321" s="70"/>
      <c r="BS321" s="70"/>
      <c r="BT321" s="70"/>
      <c r="BU321" s="70"/>
      <c r="BV321" s="70"/>
      <c r="BW321" s="70"/>
      <c r="BX321" s="136"/>
      <c r="BY321" s="70"/>
      <c r="BZ321" s="67"/>
      <c r="CA321" s="67"/>
      <c r="CB321" s="67"/>
    </row>
    <row r="322" spans="1:80" s="28" customFormat="1" ht="16" customHeight="1">
      <c r="A322" s="39"/>
      <c r="B322" s="57"/>
      <c r="C322" s="67"/>
      <c r="D322" s="67"/>
      <c r="E322" s="39"/>
      <c r="F322" s="39"/>
      <c r="G322" s="39"/>
      <c r="H322" s="67"/>
      <c r="I322" s="60"/>
      <c r="J322" s="60"/>
      <c r="K322" s="60"/>
      <c r="L322" s="60"/>
      <c r="M322" s="60"/>
      <c r="N322" s="60"/>
      <c r="O322" s="60"/>
      <c r="P322" s="60"/>
      <c r="Q322" s="60"/>
      <c r="R322" s="60"/>
      <c r="S322" s="70"/>
      <c r="T322" s="70"/>
      <c r="U322" s="70"/>
      <c r="V322" s="70"/>
      <c r="W322" s="70"/>
      <c r="X322" s="70"/>
      <c r="Y322" s="70"/>
      <c r="Z322" s="70"/>
      <c r="AA322" s="70"/>
      <c r="AB322" s="70"/>
      <c r="AC322" s="70"/>
      <c r="AD322" s="136"/>
      <c r="AE322" s="24"/>
      <c r="AF322" s="24"/>
      <c r="AG322" s="73"/>
      <c r="AH322" s="125"/>
      <c r="AI322" s="103"/>
      <c r="AK322" s="113"/>
      <c r="AL322" s="113"/>
      <c r="AM322" s="113"/>
      <c r="AN322" s="113"/>
      <c r="AO322" s="137"/>
      <c r="AP322" s="137"/>
      <c r="AQ322" s="137"/>
      <c r="AR322" s="137"/>
      <c r="AS322" s="137"/>
      <c r="AT322" s="137"/>
      <c r="AU322" s="67"/>
      <c r="AV322" s="44"/>
      <c r="AW322" s="67"/>
      <c r="AX322" s="75"/>
      <c r="AY322" s="123"/>
      <c r="AZ322" s="67"/>
      <c r="BA322" s="138"/>
      <c r="BB322" s="67"/>
      <c r="BC322" s="67"/>
      <c r="BD322" s="67"/>
      <c r="BE322" s="67"/>
      <c r="BF322" s="67"/>
      <c r="BG322" s="67"/>
      <c r="BH322" s="67"/>
      <c r="BI322" s="67"/>
      <c r="BJ322" s="67"/>
      <c r="BK322" s="67"/>
      <c r="BL322" s="67"/>
      <c r="BM322" s="70"/>
      <c r="BN322" s="70"/>
      <c r="BO322" s="70"/>
      <c r="BP322" s="70"/>
      <c r="BQ322" s="70"/>
      <c r="BR322" s="70"/>
      <c r="BS322" s="70"/>
      <c r="BT322" s="70"/>
      <c r="BU322" s="70"/>
      <c r="BV322" s="70"/>
      <c r="BW322" s="70"/>
      <c r="BX322" s="136"/>
      <c r="BY322" s="70"/>
      <c r="BZ322" s="67"/>
      <c r="CA322" s="67"/>
      <c r="CB322" s="67"/>
    </row>
    <row r="323" spans="1:80" s="28" customFormat="1" ht="16" customHeight="1">
      <c r="A323" s="39"/>
      <c r="B323" s="57"/>
      <c r="C323" s="67"/>
      <c r="D323" s="67"/>
      <c r="E323" s="39"/>
      <c r="F323" s="39"/>
      <c r="G323" s="39"/>
      <c r="H323" s="67"/>
      <c r="I323" s="60"/>
      <c r="J323" s="60"/>
      <c r="K323" s="60"/>
      <c r="L323" s="60"/>
      <c r="M323" s="60"/>
      <c r="N323" s="60"/>
      <c r="O323" s="60"/>
      <c r="P323" s="60"/>
      <c r="Q323" s="60"/>
      <c r="R323" s="60"/>
      <c r="S323" s="70"/>
      <c r="T323" s="70"/>
      <c r="U323" s="70"/>
      <c r="V323" s="70"/>
      <c r="W323" s="70"/>
      <c r="X323" s="70"/>
      <c r="Y323" s="70"/>
      <c r="Z323" s="70"/>
      <c r="AA323" s="70"/>
      <c r="AB323" s="70"/>
      <c r="AC323" s="70"/>
      <c r="AD323" s="136"/>
      <c r="AE323" s="24"/>
      <c r="AF323" s="24"/>
      <c r="AG323" s="73"/>
      <c r="AH323" s="125"/>
      <c r="AI323" s="103"/>
      <c r="AK323" s="113"/>
      <c r="AL323" s="113"/>
      <c r="AM323" s="113"/>
      <c r="AN323" s="113"/>
      <c r="AO323" s="137"/>
      <c r="AP323" s="137"/>
      <c r="AQ323" s="137"/>
      <c r="AR323" s="137"/>
      <c r="AS323" s="137"/>
      <c r="AT323" s="137"/>
      <c r="AU323" s="67"/>
      <c r="AV323" s="44"/>
      <c r="AW323" s="67"/>
      <c r="AX323" s="75"/>
      <c r="AY323" s="123"/>
      <c r="AZ323" s="67"/>
      <c r="BA323" s="138"/>
      <c r="BB323" s="67"/>
      <c r="BC323" s="67"/>
      <c r="BD323" s="67"/>
      <c r="BE323" s="67"/>
      <c r="BF323" s="67"/>
      <c r="BG323" s="67"/>
      <c r="BH323" s="67"/>
      <c r="BI323" s="67"/>
      <c r="BJ323" s="67"/>
      <c r="BK323" s="67"/>
      <c r="BL323" s="67"/>
      <c r="BM323" s="70"/>
      <c r="BN323" s="70"/>
      <c r="BO323" s="70"/>
      <c r="BP323" s="70"/>
      <c r="BQ323" s="70"/>
      <c r="BR323" s="70"/>
      <c r="BS323" s="70"/>
      <c r="BT323" s="70"/>
      <c r="BU323" s="70"/>
      <c r="BV323" s="70"/>
      <c r="BW323" s="70"/>
      <c r="BX323" s="136"/>
      <c r="BY323" s="70"/>
      <c r="BZ323" s="67"/>
      <c r="CA323" s="67"/>
      <c r="CB323" s="67"/>
    </row>
    <row r="324" spans="1:80" s="28" customFormat="1" ht="16" customHeight="1">
      <c r="A324" s="39"/>
      <c r="B324" s="57"/>
      <c r="C324" s="67"/>
      <c r="D324" s="67"/>
      <c r="E324" s="39"/>
      <c r="F324" s="39"/>
      <c r="G324" s="39"/>
      <c r="H324" s="67"/>
      <c r="I324" s="60"/>
      <c r="J324" s="60"/>
      <c r="K324" s="60"/>
      <c r="L324" s="60"/>
      <c r="M324" s="60"/>
      <c r="N324" s="60"/>
      <c r="O324" s="60"/>
      <c r="P324" s="60"/>
      <c r="Q324" s="60"/>
      <c r="R324" s="60"/>
      <c r="S324" s="70"/>
      <c r="T324" s="70"/>
      <c r="U324" s="70"/>
      <c r="V324" s="70"/>
      <c r="W324" s="70"/>
      <c r="X324" s="70"/>
      <c r="Y324" s="70"/>
      <c r="Z324" s="70"/>
      <c r="AA324" s="70"/>
      <c r="AB324" s="70"/>
      <c r="AC324" s="70"/>
      <c r="AD324" s="136"/>
      <c r="AE324" s="24"/>
      <c r="AF324" s="24"/>
      <c r="AG324" s="73"/>
      <c r="AH324" s="125"/>
      <c r="AI324" s="103"/>
      <c r="AK324" s="113"/>
      <c r="AL324" s="113"/>
      <c r="AM324" s="113"/>
      <c r="AN324" s="113"/>
      <c r="AO324" s="137"/>
      <c r="AP324" s="137"/>
      <c r="AQ324" s="137"/>
      <c r="AR324" s="137"/>
      <c r="AS324" s="137"/>
      <c r="AT324" s="137"/>
      <c r="AU324" s="67"/>
      <c r="AV324" s="44"/>
      <c r="AW324" s="67"/>
      <c r="AX324" s="75"/>
      <c r="AY324" s="123"/>
      <c r="AZ324" s="67"/>
      <c r="BA324" s="138"/>
      <c r="BB324" s="67"/>
      <c r="BC324" s="67"/>
      <c r="BD324" s="67"/>
      <c r="BE324" s="67"/>
      <c r="BF324" s="67"/>
      <c r="BG324" s="67"/>
      <c r="BH324" s="67"/>
      <c r="BI324" s="67"/>
      <c r="BJ324" s="67"/>
      <c r="BK324" s="67"/>
      <c r="BL324" s="67"/>
      <c r="BM324" s="70"/>
      <c r="BN324" s="70"/>
      <c r="BO324" s="70"/>
      <c r="BP324" s="70"/>
      <c r="BQ324" s="70"/>
      <c r="BR324" s="70"/>
      <c r="BS324" s="70"/>
      <c r="BT324" s="70"/>
      <c r="BU324" s="70"/>
      <c r="BV324" s="70"/>
      <c r="BW324" s="70"/>
      <c r="BX324" s="136"/>
      <c r="BY324" s="70"/>
      <c r="BZ324" s="67"/>
      <c r="CA324" s="67"/>
      <c r="CB324" s="67"/>
    </row>
    <row r="325" spans="1:80" s="28" customFormat="1" ht="16" customHeight="1">
      <c r="A325" s="39"/>
      <c r="B325" s="57"/>
      <c r="C325" s="67"/>
      <c r="D325" s="67"/>
      <c r="E325" s="39"/>
      <c r="F325" s="39"/>
      <c r="G325" s="39"/>
      <c r="H325" s="67"/>
      <c r="I325" s="60"/>
      <c r="J325" s="60"/>
      <c r="K325" s="60"/>
      <c r="L325" s="60"/>
      <c r="M325" s="60"/>
      <c r="N325" s="60"/>
      <c r="O325" s="60"/>
      <c r="P325" s="60"/>
      <c r="Q325" s="60"/>
      <c r="R325" s="60"/>
      <c r="S325" s="70"/>
      <c r="T325" s="70"/>
      <c r="U325" s="70"/>
      <c r="V325" s="70"/>
      <c r="W325" s="70"/>
      <c r="X325" s="70"/>
      <c r="Y325" s="70"/>
      <c r="Z325" s="70"/>
      <c r="AA325" s="70"/>
      <c r="AB325" s="70"/>
      <c r="AC325" s="70"/>
      <c r="AD325" s="136"/>
      <c r="AE325" s="24"/>
      <c r="AF325" s="24"/>
      <c r="AG325" s="73"/>
      <c r="AH325" s="125"/>
      <c r="AI325" s="103"/>
      <c r="AK325" s="113"/>
      <c r="AL325" s="113"/>
      <c r="AM325" s="113"/>
      <c r="AN325" s="113"/>
      <c r="AO325" s="137"/>
      <c r="AP325" s="137"/>
      <c r="AQ325" s="137"/>
      <c r="AR325" s="137"/>
      <c r="AS325" s="137"/>
      <c r="AT325" s="137"/>
      <c r="AU325" s="67"/>
      <c r="AV325" s="44"/>
      <c r="AW325" s="67"/>
      <c r="AX325" s="75"/>
      <c r="AY325" s="123"/>
      <c r="AZ325" s="67"/>
      <c r="BA325" s="138"/>
      <c r="BB325" s="67"/>
      <c r="BC325" s="67"/>
      <c r="BD325" s="67"/>
      <c r="BE325" s="67"/>
      <c r="BF325" s="67"/>
      <c r="BG325" s="67"/>
      <c r="BH325" s="67"/>
      <c r="BI325" s="67"/>
      <c r="BJ325" s="67"/>
      <c r="BK325" s="67"/>
      <c r="BL325" s="67"/>
      <c r="BM325" s="70"/>
      <c r="BN325" s="70"/>
      <c r="BO325" s="70"/>
      <c r="BP325" s="70"/>
      <c r="BQ325" s="70"/>
      <c r="BR325" s="70"/>
      <c r="BS325" s="70"/>
      <c r="BT325" s="70"/>
      <c r="BU325" s="70"/>
      <c r="BV325" s="70"/>
      <c r="BW325" s="70"/>
      <c r="BX325" s="136"/>
      <c r="BY325" s="70"/>
      <c r="BZ325" s="67"/>
      <c r="CA325" s="67"/>
      <c r="CB325" s="67"/>
    </row>
    <row r="326" spans="1:80" s="28" customFormat="1" ht="16" customHeight="1">
      <c r="A326" s="39"/>
      <c r="B326" s="57"/>
      <c r="C326" s="67"/>
      <c r="D326" s="67"/>
      <c r="E326" s="39"/>
      <c r="F326" s="39"/>
      <c r="G326" s="39"/>
      <c r="H326" s="67"/>
      <c r="I326" s="60"/>
      <c r="J326" s="60"/>
      <c r="K326" s="60"/>
      <c r="L326" s="60"/>
      <c r="M326" s="60"/>
      <c r="N326" s="60"/>
      <c r="O326" s="60"/>
      <c r="P326" s="60"/>
      <c r="Q326" s="60"/>
      <c r="R326" s="60"/>
      <c r="S326" s="70"/>
      <c r="T326" s="70"/>
      <c r="U326" s="70"/>
      <c r="V326" s="70"/>
      <c r="W326" s="70"/>
      <c r="X326" s="70"/>
      <c r="Y326" s="70"/>
      <c r="Z326" s="70"/>
      <c r="AA326" s="70"/>
      <c r="AB326" s="70"/>
      <c r="AC326" s="70"/>
      <c r="AD326" s="136"/>
      <c r="AE326" s="24"/>
      <c r="AF326" s="24"/>
      <c r="AG326" s="73"/>
      <c r="AH326" s="125"/>
      <c r="AI326" s="103"/>
      <c r="AK326" s="113"/>
      <c r="AL326" s="113"/>
      <c r="AM326" s="113"/>
      <c r="AN326" s="113"/>
      <c r="AO326" s="137"/>
      <c r="AP326" s="137"/>
      <c r="AQ326" s="137"/>
      <c r="AR326" s="137"/>
      <c r="AS326" s="137"/>
      <c r="AT326" s="137"/>
      <c r="AU326" s="67"/>
      <c r="AV326" s="44"/>
      <c r="AW326" s="67"/>
      <c r="AX326" s="75"/>
      <c r="AY326" s="123"/>
      <c r="AZ326" s="67"/>
      <c r="BA326" s="138"/>
      <c r="BB326" s="67"/>
      <c r="BC326" s="67"/>
      <c r="BD326" s="67"/>
      <c r="BE326" s="67"/>
      <c r="BF326" s="67"/>
      <c r="BG326" s="67"/>
      <c r="BH326" s="67"/>
      <c r="BI326" s="67"/>
      <c r="BJ326" s="67"/>
      <c r="BK326" s="67"/>
      <c r="BL326" s="67"/>
      <c r="BM326" s="70"/>
      <c r="BN326" s="70"/>
      <c r="BO326" s="70"/>
      <c r="BP326" s="70"/>
      <c r="BQ326" s="70"/>
      <c r="BR326" s="70"/>
      <c r="BS326" s="70"/>
      <c r="BT326" s="70"/>
      <c r="BU326" s="70"/>
      <c r="BV326" s="70"/>
      <c r="BW326" s="70"/>
      <c r="BX326" s="136"/>
      <c r="BY326" s="70"/>
      <c r="BZ326" s="67"/>
      <c r="CA326" s="67"/>
      <c r="CB326" s="67"/>
    </row>
    <row r="327" spans="1:80" s="28" customFormat="1" ht="16" customHeight="1">
      <c r="A327" s="39"/>
      <c r="B327" s="57"/>
      <c r="C327" s="67"/>
      <c r="D327" s="67"/>
      <c r="E327" s="39"/>
      <c r="F327" s="39"/>
      <c r="G327" s="39"/>
      <c r="H327" s="67"/>
      <c r="I327" s="60"/>
      <c r="J327" s="60"/>
      <c r="K327" s="60"/>
      <c r="L327" s="60"/>
      <c r="M327" s="60"/>
      <c r="N327" s="60"/>
      <c r="O327" s="60"/>
      <c r="P327" s="60"/>
      <c r="Q327" s="60"/>
      <c r="R327" s="60"/>
      <c r="S327" s="70"/>
      <c r="T327" s="70"/>
      <c r="U327" s="70"/>
      <c r="V327" s="70"/>
      <c r="W327" s="70"/>
      <c r="X327" s="70"/>
      <c r="Y327" s="70"/>
      <c r="Z327" s="70"/>
      <c r="AA327" s="70"/>
      <c r="AB327" s="70"/>
      <c r="AC327" s="70"/>
      <c r="AD327" s="136"/>
      <c r="AE327" s="24"/>
      <c r="AF327" s="24"/>
      <c r="AG327" s="73"/>
      <c r="AH327" s="125"/>
      <c r="AI327" s="103"/>
      <c r="AK327" s="113"/>
      <c r="AL327" s="113"/>
      <c r="AM327" s="113"/>
      <c r="AN327" s="113"/>
      <c r="AO327" s="137"/>
      <c r="AP327" s="137"/>
      <c r="AQ327" s="137"/>
      <c r="AR327" s="137"/>
      <c r="AS327" s="137"/>
      <c r="AT327" s="137"/>
      <c r="AU327" s="67"/>
      <c r="AV327" s="44"/>
      <c r="AW327" s="67"/>
      <c r="AX327" s="75"/>
      <c r="AY327" s="123"/>
      <c r="AZ327" s="67"/>
      <c r="BA327" s="138"/>
      <c r="BB327" s="67"/>
      <c r="BC327" s="67"/>
      <c r="BD327" s="67"/>
      <c r="BE327" s="67"/>
      <c r="BF327" s="67"/>
      <c r="BG327" s="67"/>
      <c r="BH327" s="67"/>
      <c r="BI327" s="67"/>
      <c r="BJ327" s="67"/>
      <c r="BK327" s="67"/>
      <c r="BL327" s="67"/>
      <c r="BM327" s="70"/>
      <c r="BN327" s="70"/>
      <c r="BO327" s="70"/>
      <c r="BP327" s="70"/>
      <c r="BQ327" s="70"/>
      <c r="BR327" s="70"/>
      <c r="BS327" s="70"/>
      <c r="BT327" s="70"/>
      <c r="BU327" s="70"/>
      <c r="BV327" s="70"/>
      <c r="BW327" s="70"/>
      <c r="BX327" s="136"/>
      <c r="BY327" s="70"/>
      <c r="BZ327" s="67"/>
      <c r="CA327" s="67"/>
      <c r="CB327" s="67"/>
    </row>
    <row r="328" spans="1:80" s="28" customFormat="1" ht="16" customHeight="1">
      <c r="A328" s="39"/>
      <c r="B328" s="57"/>
      <c r="C328" s="67"/>
      <c r="D328" s="67"/>
      <c r="E328" s="39"/>
      <c r="F328" s="39"/>
      <c r="G328" s="39"/>
      <c r="H328" s="67"/>
      <c r="I328" s="60"/>
      <c r="J328" s="60"/>
      <c r="K328" s="60"/>
      <c r="L328" s="60"/>
      <c r="M328" s="60"/>
      <c r="N328" s="60"/>
      <c r="O328" s="60"/>
      <c r="P328" s="60"/>
      <c r="Q328" s="60"/>
      <c r="R328" s="60"/>
      <c r="S328" s="70"/>
      <c r="T328" s="70"/>
      <c r="U328" s="70"/>
      <c r="V328" s="70"/>
      <c r="W328" s="70"/>
      <c r="X328" s="70"/>
      <c r="Y328" s="70"/>
      <c r="Z328" s="70"/>
      <c r="AA328" s="70"/>
      <c r="AB328" s="70"/>
      <c r="AC328" s="70"/>
      <c r="AD328" s="136"/>
      <c r="AE328" s="24"/>
      <c r="AF328" s="24"/>
      <c r="AG328" s="73"/>
      <c r="AH328" s="125"/>
      <c r="AI328" s="103"/>
      <c r="AK328" s="113"/>
      <c r="AL328" s="113"/>
      <c r="AM328" s="113"/>
      <c r="AN328" s="113"/>
      <c r="AO328" s="137"/>
      <c r="AP328" s="137"/>
      <c r="AQ328" s="137"/>
      <c r="AR328" s="137"/>
      <c r="AS328" s="137"/>
      <c r="AT328" s="137"/>
      <c r="AU328" s="67"/>
      <c r="AV328" s="44"/>
      <c r="AW328" s="67"/>
      <c r="AX328" s="75"/>
      <c r="AY328" s="123"/>
      <c r="AZ328" s="67"/>
      <c r="BA328" s="138"/>
      <c r="BB328" s="67"/>
      <c r="BC328" s="67"/>
      <c r="BD328" s="67"/>
      <c r="BE328" s="67"/>
      <c r="BF328" s="67"/>
      <c r="BG328" s="67"/>
      <c r="BH328" s="67"/>
      <c r="BI328" s="67"/>
      <c r="BJ328" s="67"/>
      <c r="BK328" s="67"/>
      <c r="BL328" s="67"/>
      <c r="BM328" s="70"/>
      <c r="BN328" s="70"/>
      <c r="BO328" s="70"/>
      <c r="BP328" s="70"/>
      <c r="BQ328" s="70"/>
      <c r="BR328" s="70"/>
      <c r="BS328" s="70"/>
      <c r="BT328" s="70"/>
      <c r="BU328" s="70"/>
      <c r="BV328" s="70"/>
      <c r="BW328" s="70"/>
      <c r="BX328" s="136"/>
      <c r="BY328" s="70"/>
      <c r="BZ328" s="67"/>
      <c r="CA328" s="67"/>
      <c r="CB328" s="67"/>
    </row>
    <row r="329" spans="1:80" s="28" customFormat="1" ht="16" customHeight="1">
      <c r="A329" s="39"/>
      <c r="B329" s="57"/>
      <c r="C329" s="67"/>
      <c r="D329" s="67"/>
      <c r="E329" s="39"/>
      <c r="F329" s="39"/>
      <c r="G329" s="39"/>
      <c r="H329" s="67"/>
      <c r="I329" s="60"/>
      <c r="J329" s="60"/>
      <c r="K329" s="60"/>
      <c r="L329" s="60"/>
      <c r="M329" s="60"/>
      <c r="N329" s="60"/>
      <c r="O329" s="60"/>
      <c r="P329" s="60"/>
      <c r="Q329" s="60"/>
      <c r="R329" s="60"/>
      <c r="S329" s="70"/>
      <c r="T329" s="70"/>
      <c r="U329" s="70"/>
      <c r="V329" s="70"/>
      <c r="W329" s="70"/>
      <c r="X329" s="70"/>
      <c r="Y329" s="70"/>
      <c r="Z329" s="70"/>
      <c r="AA329" s="70"/>
      <c r="AB329" s="70"/>
      <c r="AC329" s="70"/>
      <c r="AD329" s="136"/>
      <c r="AE329" s="24"/>
      <c r="AF329" s="24"/>
      <c r="AG329" s="73"/>
      <c r="AH329" s="125"/>
      <c r="AI329" s="103"/>
      <c r="AK329" s="113"/>
      <c r="AL329" s="113"/>
      <c r="AM329" s="113"/>
      <c r="AN329" s="113"/>
      <c r="AO329" s="137"/>
      <c r="AP329" s="137"/>
      <c r="AQ329" s="137"/>
      <c r="AR329" s="137"/>
      <c r="AS329" s="137"/>
      <c r="AT329" s="137"/>
      <c r="AU329" s="67"/>
      <c r="AV329" s="44"/>
      <c r="AW329" s="67"/>
      <c r="AX329" s="75"/>
      <c r="AY329" s="123"/>
      <c r="AZ329" s="67"/>
      <c r="BA329" s="138"/>
      <c r="BB329" s="67"/>
      <c r="BC329" s="67"/>
      <c r="BD329" s="67"/>
      <c r="BE329" s="67"/>
      <c r="BF329" s="67"/>
      <c r="BG329" s="67"/>
      <c r="BH329" s="67"/>
      <c r="BI329" s="67"/>
      <c r="BJ329" s="67"/>
      <c r="BK329" s="67"/>
      <c r="BL329" s="67"/>
      <c r="BM329" s="70"/>
      <c r="BN329" s="70"/>
      <c r="BO329" s="70"/>
      <c r="BP329" s="70"/>
      <c r="BQ329" s="70"/>
      <c r="BR329" s="70"/>
      <c r="BS329" s="70"/>
      <c r="BT329" s="70"/>
      <c r="BU329" s="70"/>
      <c r="BV329" s="70"/>
      <c r="BW329" s="70"/>
      <c r="BX329" s="136"/>
      <c r="BY329" s="70"/>
      <c r="BZ329" s="67"/>
      <c r="CA329" s="67"/>
      <c r="CB329" s="67"/>
    </row>
    <row r="330" spans="1:80" s="28" customFormat="1" ht="16" customHeight="1">
      <c r="A330" s="39"/>
      <c r="B330" s="57"/>
      <c r="C330" s="67"/>
      <c r="D330" s="67"/>
      <c r="E330" s="39"/>
      <c r="F330" s="39"/>
      <c r="G330" s="39"/>
      <c r="H330" s="67"/>
      <c r="I330" s="60"/>
      <c r="J330" s="60"/>
      <c r="K330" s="60"/>
      <c r="L330" s="60"/>
      <c r="M330" s="60"/>
      <c r="N330" s="60"/>
      <c r="O330" s="60"/>
      <c r="P330" s="60"/>
      <c r="Q330" s="60"/>
      <c r="R330" s="60"/>
      <c r="S330" s="70"/>
      <c r="T330" s="70"/>
      <c r="U330" s="70"/>
      <c r="V330" s="70"/>
      <c r="W330" s="70"/>
      <c r="X330" s="70"/>
      <c r="Y330" s="70"/>
      <c r="Z330" s="70"/>
      <c r="AA330" s="70"/>
      <c r="AB330" s="70"/>
      <c r="AC330" s="70"/>
      <c r="AD330" s="136"/>
      <c r="AE330" s="24"/>
      <c r="AF330" s="24"/>
      <c r="AG330" s="73"/>
      <c r="AH330" s="125"/>
      <c r="AI330" s="103"/>
      <c r="AK330" s="113"/>
      <c r="AL330" s="113"/>
      <c r="AM330" s="113"/>
      <c r="AN330" s="113"/>
      <c r="AO330" s="137"/>
      <c r="AP330" s="137"/>
      <c r="AQ330" s="137"/>
      <c r="AR330" s="137"/>
      <c r="AS330" s="137"/>
      <c r="AT330" s="137"/>
      <c r="AU330" s="67"/>
      <c r="AV330" s="44"/>
      <c r="AW330" s="67"/>
      <c r="AX330" s="75"/>
      <c r="AY330" s="123"/>
      <c r="AZ330" s="67"/>
      <c r="BA330" s="138"/>
      <c r="BB330" s="67"/>
      <c r="BC330" s="67"/>
      <c r="BD330" s="67"/>
      <c r="BE330" s="67"/>
      <c r="BF330" s="67"/>
      <c r="BG330" s="67"/>
      <c r="BH330" s="67"/>
      <c r="BI330" s="67"/>
      <c r="BJ330" s="67"/>
      <c r="BK330" s="67"/>
      <c r="BL330" s="67"/>
      <c r="BM330" s="70"/>
      <c r="BN330" s="70"/>
      <c r="BO330" s="70"/>
      <c r="BP330" s="70"/>
      <c r="BQ330" s="70"/>
      <c r="BR330" s="70"/>
      <c r="BS330" s="70"/>
      <c r="BT330" s="70"/>
      <c r="BU330" s="70"/>
      <c r="BV330" s="70"/>
      <c r="BW330" s="70"/>
      <c r="BX330" s="136"/>
      <c r="BY330" s="70"/>
      <c r="BZ330" s="67"/>
      <c r="CA330" s="67"/>
      <c r="CB330" s="67"/>
    </row>
    <row r="331" spans="1:80" s="28" customFormat="1" ht="16" customHeight="1">
      <c r="A331" s="39"/>
      <c r="B331" s="57"/>
      <c r="C331" s="67"/>
      <c r="D331" s="67"/>
      <c r="E331" s="39"/>
      <c r="F331" s="39"/>
      <c r="G331" s="39"/>
      <c r="H331" s="67"/>
      <c r="I331" s="60"/>
      <c r="J331" s="60"/>
      <c r="K331" s="60"/>
      <c r="L331" s="60"/>
      <c r="M331" s="60"/>
      <c r="N331" s="60"/>
      <c r="O331" s="60"/>
      <c r="P331" s="60"/>
      <c r="Q331" s="60"/>
      <c r="R331" s="60"/>
      <c r="S331" s="70"/>
      <c r="T331" s="70"/>
      <c r="U331" s="70"/>
      <c r="V331" s="70"/>
      <c r="W331" s="70"/>
      <c r="X331" s="70"/>
      <c r="Y331" s="70"/>
      <c r="Z331" s="70"/>
      <c r="AA331" s="70"/>
      <c r="AB331" s="70"/>
      <c r="AC331" s="70"/>
      <c r="AD331" s="136"/>
      <c r="AE331" s="24"/>
      <c r="AF331" s="24"/>
      <c r="AG331" s="73"/>
      <c r="AH331" s="125"/>
      <c r="AI331" s="103"/>
      <c r="AK331" s="113"/>
      <c r="AL331" s="113"/>
      <c r="AM331" s="113"/>
      <c r="AN331" s="113"/>
      <c r="AO331" s="137"/>
      <c r="AP331" s="137"/>
      <c r="AQ331" s="137"/>
      <c r="AR331" s="137"/>
      <c r="AS331" s="137"/>
      <c r="AT331" s="137"/>
      <c r="AU331" s="67"/>
      <c r="AV331" s="44"/>
      <c r="AW331" s="67"/>
      <c r="AX331" s="75"/>
      <c r="AY331" s="123"/>
      <c r="AZ331" s="67"/>
      <c r="BA331" s="138"/>
      <c r="BB331" s="67"/>
      <c r="BC331" s="67"/>
      <c r="BD331" s="67"/>
      <c r="BE331" s="67"/>
      <c r="BF331" s="67"/>
      <c r="BG331" s="67"/>
      <c r="BH331" s="67"/>
      <c r="BI331" s="67"/>
      <c r="BJ331" s="67"/>
      <c r="BK331" s="67"/>
      <c r="BL331" s="67"/>
      <c r="BM331" s="70"/>
      <c r="BN331" s="70"/>
      <c r="BO331" s="70"/>
      <c r="BP331" s="70"/>
      <c r="BQ331" s="70"/>
      <c r="BR331" s="70"/>
      <c r="BS331" s="70"/>
      <c r="BT331" s="70"/>
      <c r="BU331" s="70"/>
      <c r="BV331" s="70"/>
      <c r="BW331" s="70"/>
      <c r="BX331" s="136"/>
      <c r="BY331" s="70"/>
      <c r="BZ331" s="67"/>
      <c r="CA331" s="67"/>
      <c r="CB331" s="67"/>
    </row>
    <row r="332" spans="1:80" s="28" customFormat="1" ht="16" customHeight="1">
      <c r="A332" s="39"/>
      <c r="B332" s="57"/>
      <c r="C332" s="67"/>
      <c r="D332" s="67"/>
      <c r="E332" s="39"/>
      <c r="F332" s="39"/>
      <c r="G332" s="39"/>
      <c r="H332" s="67"/>
      <c r="I332" s="60"/>
      <c r="J332" s="60"/>
      <c r="K332" s="60"/>
      <c r="L332" s="60"/>
      <c r="M332" s="60"/>
      <c r="N332" s="60"/>
      <c r="O332" s="60"/>
      <c r="P332" s="60"/>
      <c r="Q332" s="60"/>
      <c r="R332" s="60"/>
      <c r="S332" s="70"/>
      <c r="T332" s="70"/>
      <c r="U332" s="70"/>
      <c r="V332" s="70"/>
      <c r="W332" s="70"/>
      <c r="X332" s="70"/>
      <c r="Y332" s="70"/>
      <c r="Z332" s="70"/>
      <c r="AA332" s="70"/>
      <c r="AB332" s="70"/>
      <c r="AC332" s="70"/>
      <c r="AD332" s="136"/>
      <c r="AE332" s="24"/>
      <c r="AF332" s="24"/>
      <c r="AG332" s="73"/>
      <c r="AH332" s="125"/>
      <c r="AI332" s="103"/>
      <c r="AK332" s="113"/>
      <c r="AL332" s="113"/>
      <c r="AM332" s="113"/>
      <c r="AN332" s="113"/>
      <c r="AO332" s="137"/>
      <c r="AP332" s="137"/>
      <c r="AQ332" s="137"/>
      <c r="AR332" s="137"/>
      <c r="AS332" s="137"/>
      <c r="AT332" s="137"/>
      <c r="AU332" s="67"/>
      <c r="AV332" s="44"/>
      <c r="AW332" s="67"/>
      <c r="AX332" s="75"/>
      <c r="AY332" s="123"/>
      <c r="AZ332" s="67"/>
      <c r="BA332" s="138"/>
      <c r="BB332" s="67"/>
      <c r="BC332" s="67"/>
      <c r="BD332" s="67"/>
      <c r="BE332" s="67"/>
      <c r="BF332" s="67"/>
      <c r="BG332" s="67"/>
      <c r="BH332" s="67"/>
      <c r="BI332" s="67"/>
      <c r="BJ332" s="67"/>
      <c r="BK332" s="67"/>
      <c r="BL332" s="67"/>
      <c r="BM332" s="70"/>
      <c r="BN332" s="70"/>
      <c r="BO332" s="70"/>
      <c r="BP332" s="70"/>
      <c r="BQ332" s="70"/>
      <c r="BR332" s="70"/>
      <c r="BS332" s="70"/>
      <c r="BT332" s="70"/>
      <c r="BU332" s="70"/>
      <c r="BV332" s="70"/>
      <c r="BW332" s="70"/>
      <c r="BX332" s="136"/>
      <c r="BY332" s="70"/>
      <c r="BZ332" s="67"/>
      <c r="CA332" s="67"/>
      <c r="CB332" s="67"/>
    </row>
    <row r="333" spans="1:80" s="28" customFormat="1" ht="16" customHeight="1">
      <c r="A333" s="39"/>
      <c r="B333" s="57"/>
      <c r="C333" s="67"/>
      <c r="D333" s="67"/>
      <c r="E333" s="39"/>
      <c r="F333" s="39"/>
      <c r="G333" s="39"/>
      <c r="H333" s="67"/>
      <c r="I333" s="60"/>
      <c r="J333" s="60"/>
      <c r="K333" s="60"/>
      <c r="L333" s="60"/>
      <c r="M333" s="60"/>
      <c r="N333" s="60"/>
      <c r="O333" s="60"/>
      <c r="P333" s="60"/>
      <c r="Q333" s="60"/>
      <c r="R333" s="60"/>
      <c r="S333" s="70"/>
      <c r="T333" s="70"/>
      <c r="U333" s="70"/>
      <c r="V333" s="70"/>
      <c r="W333" s="70"/>
      <c r="X333" s="70"/>
      <c r="Y333" s="70"/>
      <c r="Z333" s="70"/>
      <c r="AA333" s="70"/>
      <c r="AB333" s="70"/>
      <c r="AC333" s="70"/>
      <c r="AD333" s="136"/>
      <c r="AE333" s="24"/>
      <c r="AF333" s="24"/>
      <c r="AG333" s="73"/>
      <c r="AH333" s="125"/>
      <c r="AI333" s="103"/>
      <c r="AK333" s="113"/>
      <c r="AL333" s="113"/>
      <c r="AM333" s="113"/>
      <c r="AN333" s="113"/>
      <c r="AO333" s="137"/>
      <c r="AP333" s="137"/>
      <c r="AQ333" s="137"/>
      <c r="AR333" s="137"/>
      <c r="AS333" s="137"/>
      <c r="AT333" s="137"/>
      <c r="AU333" s="67"/>
      <c r="AV333" s="44"/>
      <c r="AW333" s="67"/>
      <c r="AX333" s="75"/>
      <c r="AY333" s="123"/>
      <c r="AZ333" s="67"/>
      <c r="BA333" s="138"/>
      <c r="BB333" s="67"/>
      <c r="BC333" s="67"/>
      <c r="BD333" s="67"/>
      <c r="BE333" s="67"/>
      <c r="BF333" s="67"/>
      <c r="BG333" s="67"/>
      <c r="BH333" s="67"/>
      <c r="BI333" s="67"/>
      <c r="BJ333" s="67"/>
      <c r="BK333" s="67"/>
      <c r="BL333" s="67"/>
      <c r="BM333" s="70"/>
      <c r="BN333" s="70"/>
      <c r="BO333" s="70"/>
      <c r="BP333" s="70"/>
      <c r="BQ333" s="70"/>
      <c r="BR333" s="70"/>
      <c r="BS333" s="70"/>
      <c r="BT333" s="70"/>
      <c r="BU333" s="70"/>
      <c r="BV333" s="70"/>
      <c r="BW333" s="70"/>
      <c r="BX333" s="136"/>
      <c r="BY333" s="70"/>
      <c r="BZ333" s="67"/>
      <c r="CA333" s="67"/>
      <c r="CB333" s="67"/>
    </row>
    <row r="334" spans="1:80" s="28" customFormat="1" ht="16" customHeight="1">
      <c r="A334" s="39"/>
      <c r="B334" s="57"/>
      <c r="C334" s="67"/>
      <c r="D334" s="67"/>
      <c r="E334" s="39"/>
      <c r="F334" s="39"/>
      <c r="G334" s="39"/>
      <c r="H334" s="67"/>
      <c r="I334" s="60"/>
      <c r="J334" s="60"/>
      <c r="K334" s="60"/>
      <c r="L334" s="60"/>
      <c r="M334" s="60"/>
      <c r="N334" s="60"/>
      <c r="O334" s="60"/>
      <c r="P334" s="60"/>
      <c r="Q334" s="60"/>
      <c r="R334" s="60"/>
      <c r="S334" s="70"/>
      <c r="T334" s="70"/>
      <c r="U334" s="70"/>
      <c r="V334" s="70"/>
      <c r="W334" s="70"/>
      <c r="X334" s="70"/>
      <c r="Y334" s="70"/>
      <c r="Z334" s="70"/>
      <c r="AA334" s="70"/>
      <c r="AB334" s="70"/>
      <c r="AC334" s="70"/>
      <c r="AD334" s="136"/>
      <c r="AE334" s="24"/>
      <c r="AF334" s="24"/>
      <c r="AG334" s="73"/>
      <c r="AH334" s="125"/>
      <c r="AI334" s="103"/>
      <c r="AK334" s="113"/>
      <c r="AL334" s="113"/>
      <c r="AM334" s="113"/>
      <c r="AN334" s="113"/>
      <c r="AO334" s="137"/>
      <c r="AP334" s="137"/>
      <c r="AQ334" s="137"/>
      <c r="AR334" s="137"/>
      <c r="AS334" s="137"/>
      <c r="AT334" s="137"/>
      <c r="AU334" s="67"/>
      <c r="AV334" s="44"/>
      <c r="AW334" s="67"/>
      <c r="AX334" s="75"/>
      <c r="AY334" s="123"/>
      <c r="AZ334" s="67"/>
      <c r="BA334" s="138"/>
      <c r="BB334" s="67"/>
      <c r="BC334" s="67"/>
      <c r="BD334" s="67"/>
      <c r="BE334" s="67"/>
      <c r="BF334" s="67"/>
      <c r="BG334" s="67"/>
      <c r="BH334" s="67"/>
      <c r="BI334" s="67"/>
      <c r="BJ334" s="67"/>
      <c r="BK334" s="67"/>
      <c r="BL334" s="67"/>
      <c r="BM334" s="70"/>
      <c r="BN334" s="70"/>
      <c r="BO334" s="70"/>
      <c r="BP334" s="70"/>
      <c r="BQ334" s="70"/>
      <c r="BR334" s="70"/>
      <c r="BS334" s="70"/>
      <c r="BT334" s="70"/>
      <c r="BU334" s="70"/>
      <c r="BV334" s="70"/>
      <c r="BW334" s="70"/>
      <c r="BX334" s="136"/>
      <c r="BY334" s="70"/>
      <c r="BZ334" s="67"/>
      <c r="CA334" s="67"/>
      <c r="CB334" s="67"/>
    </row>
    <row r="335" spans="1:80" s="28" customFormat="1" ht="16" customHeight="1">
      <c r="A335" s="39"/>
      <c r="B335" s="57"/>
      <c r="C335" s="67"/>
      <c r="D335" s="67"/>
      <c r="E335" s="39"/>
      <c r="F335" s="39"/>
      <c r="G335" s="39"/>
      <c r="H335" s="67"/>
      <c r="I335" s="60"/>
      <c r="J335" s="60"/>
      <c r="K335" s="60"/>
      <c r="L335" s="60"/>
      <c r="M335" s="60"/>
      <c r="N335" s="60"/>
      <c r="O335" s="60"/>
      <c r="P335" s="60"/>
      <c r="Q335" s="60"/>
      <c r="R335" s="60"/>
      <c r="S335" s="70"/>
      <c r="T335" s="70"/>
      <c r="U335" s="70"/>
      <c r="V335" s="70"/>
      <c r="W335" s="70"/>
      <c r="X335" s="70"/>
      <c r="Y335" s="70"/>
      <c r="Z335" s="70"/>
      <c r="AA335" s="70"/>
      <c r="AB335" s="70"/>
      <c r="AC335" s="70"/>
      <c r="AD335" s="136"/>
      <c r="AE335" s="24"/>
      <c r="AF335" s="24"/>
      <c r="AG335" s="73"/>
      <c r="AH335" s="125"/>
      <c r="AI335" s="103"/>
      <c r="AK335" s="113"/>
      <c r="AL335" s="113"/>
      <c r="AM335" s="113"/>
      <c r="AN335" s="113"/>
      <c r="AO335" s="137"/>
      <c r="AP335" s="137"/>
      <c r="AQ335" s="137"/>
      <c r="AR335" s="137"/>
      <c r="AS335" s="137"/>
      <c r="AT335" s="137"/>
      <c r="AU335" s="67"/>
      <c r="AV335" s="44"/>
      <c r="AW335" s="67"/>
      <c r="AX335" s="75"/>
      <c r="AY335" s="123"/>
      <c r="AZ335" s="67"/>
      <c r="BA335" s="138"/>
      <c r="BB335" s="67"/>
      <c r="BC335" s="67"/>
      <c r="BD335" s="67"/>
      <c r="BE335" s="67"/>
      <c r="BF335" s="67"/>
      <c r="BG335" s="67"/>
      <c r="BH335" s="67"/>
      <c r="BI335" s="67"/>
      <c r="BJ335" s="67"/>
      <c r="BK335" s="67"/>
      <c r="BL335" s="67"/>
      <c r="BM335" s="70"/>
      <c r="BN335" s="70"/>
      <c r="BO335" s="70"/>
      <c r="BP335" s="70"/>
      <c r="BQ335" s="70"/>
      <c r="BR335" s="70"/>
      <c r="BS335" s="70"/>
      <c r="BT335" s="70"/>
      <c r="BU335" s="70"/>
      <c r="BV335" s="70"/>
      <c r="BW335" s="70"/>
      <c r="BX335" s="136"/>
      <c r="BY335" s="70"/>
      <c r="BZ335" s="67"/>
      <c r="CA335" s="67"/>
      <c r="CB335" s="67"/>
    </row>
    <row r="336" spans="1:80" s="28" customFormat="1" ht="16" customHeight="1">
      <c r="A336" s="39"/>
      <c r="B336" s="57"/>
      <c r="C336" s="67"/>
      <c r="D336" s="67"/>
      <c r="E336" s="39"/>
      <c r="F336" s="39"/>
      <c r="G336" s="39"/>
      <c r="H336" s="67"/>
      <c r="I336" s="60"/>
      <c r="J336" s="60"/>
      <c r="K336" s="60"/>
      <c r="L336" s="60"/>
      <c r="M336" s="60"/>
      <c r="N336" s="60"/>
      <c r="O336" s="60"/>
      <c r="P336" s="60"/>
      <c r="Q336" s="60"/>
      <c r="R336" s="60"/>
      <c r="S336" s="70"/>
      <c r="T336" s="70"/>
      <c r="U336" s="70"/>
      <c r="V336" s="70"/>
      <c r="W336" s="70"/>
      <c r="X336" s="70"/>
      <c r="Y336" s="70"/>
      <c r="Z336" s="70"/>
      <c r="AA336" s="70"/>
      <c r="AB336" s="70"/>
      <c r="AC336" s="70"/>
      <c r="AD336" s="136"/>
      <c r="AE336" s="24"/>
      <c r="AF336" s="24"/>
      <c r="AG336" s="73"/>
      <c r="AH336" s="125"/>
      <c r="AI336" s="103"/>
      <c r="AK336" s="113"/>
      <c r="AL336" s="113"/>
      <c r="AM336" s="113"/>
      <c r="AN336" s="113"/>
      <c r="AO336" s="137"/>
      <c r="AP336" s="137"/>
      <c r="AQ336" s="137"/>
      <c r="AR336" s="137"/>
      <c r="AS336" s="137"/>
      <c r="AT336" s="137"/>
      <c r="AU336" s="67"/>
      <c r="AV336" s="44"/>
      <c r="AW336" s="67"/>
      <c r="AX336" s="75"/>
      <c r="AY336" s="123"/>
      <c r="AZ336" s="67"/>
      <c r="BA336" s="138"/>
      <c r="BB336" s="67"/>
      <c r="BC336" s="67"/>
      <c r="BD336" s="67"/>
      <c r="BE336" s="67"/>
      <c r="BF336" s="67"/>
      <c r="BG336" s="67"/>
      <c r="BH336" s="67"/>
      <c r="BI336" s="67"/>
      <c r="BJ336" s="67"/>
      <c r="BK336" s="67"/>
      <c r="BL336" s="67"/>
      <c r="BM336" s="70"/>
      <c r="BN336" s="70"/>
      <c r="BO336" s="70"/>
      <c r="BP336" s="70"/>
      <c r="BQ336" s="70"/>
      <c r="BR336" s="70"/>
      <c r="BS336" s="70"/>
      <c r="BT336" s="70"/>
      <c r="BU336" s="70"/>
      <c r="BV336" s="70"/>
      <c r="BW336" s="70"/>
      <c r="BX336" s="136"/>
      <c r="BY336" s="70"/>
      <c r="BZ336" s="67"/>
      <c r="CA336" s="67"/>
      <c r="CB336" s="67"/>
    </row>
    <row r="337" spans="1:80" s="28" customFormat="1" ht="16" customHeight="1">
      <c r="A337" s="39"/>
      <c r="B337" s="57"/>
      <c r="C337" s="67"/>
      <c r="D337" s="67"/>
      <c r="E337" s="39"/>
      <c r="F337" s="39"/>
      <c r="G337" s="39"/>
      <c r="H337" s="67"/>
      <c r="I337" s="60"/>
      <c r="J337" s="60"/>
      <c r="K337" s="60"/>
      <c r="L337" s="60"/>
      <c r="M337" s="60"/>
      <c r="N337" s="60"/>
      <c r="O337" s="60"/>
      <c r="P337" s="60"/>
      <c r="Q337" s="60"/>
      <c r="R337" s="60"/>
      <c r="S337" s="70"/>
      <c r="T337" s="70"/>
      <c r="U337" s="70"/>
      <c r="V337" s="70"/>
      <c r="W337" s="70"/>
      <c r="X337" s="70"/>
      <c r="Y337" s="70"/>
      <c r="Z337" s="70"/>
      <c r="AA337" s="70"/>
      <c r="AB337" s="70"/>
      <c r="AC337" s="70"/>
      <c r="AD337" s="136"/>
      <c r="AE337" s="24"/>
      <c r="AF337" s="24"/>
      <c r="AG337" s="73"/>
      <c r="AH337" s="125"/>
      <c r="AI337" s="103"/>
      <c r="AK337" s="113"/>
      <c r="AL337" s="113"/>
      <c r="AM337" s="113"/>
      <c r="AN337" s="113"/>
      <c r="AO337" s="137"/>
      <c r="AP337" s="137"/>
      <c r="AQ337" s="137"/>
      <c r="AR337" s="137"/>
      <c r="AS337" s="137"/>
      <c r="AT337" s="137"/>
      <c r="AU337" s="67"/>
      <c r="AV337" s="44"/>
      <c r="AW337" s="67"/>
      <c r="AX337" s="75"/>
      <c r="AY337" s="123"/>
      <c r="AZ337" s="67"/>
      <c r="BA337" s="138"/>
      <c r="BB337" s="67"/>
      <c r="BC337" s="67"/>
      <c r="BD337" s="67"/>
      <c r="BE337" s="67"/>
      <c r="BF337" s="67"/>
      <c r="BG337" s="67"/>
      <c r="BH337" s="67"/>
      <c r="BI337" s="67"/>
      <c r="BJ337" s="67"/>
      <c r="BK337" s="67"/>
      <c r="BL337" s="67"/>
      <c r="BM337" s="70"/>
      <c r="BN337" s="70"/>
      <c r="BO337" s="70"/>
      <c r="BP337" s="70"/>
      <c r="BQ337" s="70"/>
      <c r="BR337" s="70"/>
      <c r="BS337" s="70"/>
      <c r="BT337" s="70"/>
      <c r="BU337" s="70"/>
      <c r="BV337" s="70"/>
      <c r="BW337" s="70"/>
      <c r="BX337" s="136"/>
      <c r="BY337" s="70"/>
      <c r="BZ337" s="67"/>
      <c r="CA337" s="67"/>
      <c r="CB337" s="67"/>
    </row>
    <row r="338" spans="1:80" s="28" customFormat="1" ht="16" customHeight="1">
      <c r="A338" s="39"/>
      <c r="B338" s="57"/>
      <c r="C338" s="67"/>
      <c r="D338" s="67"/>
      <c r="E338" s="39"/>
      <c r="F338" s="39"/>
      <c r="G338" s="39"/>
      <c r="H338" s="67"/>
      <c r="I338" s="60"/>
      <c r="J338" s="60"/>
      <c r="K338" s="60"/>
      <c r="L338" s="60"/>
      <c r="M338" s="60"/>
      <c r="N338" s="60"/>
      <c r="O338" s="60"/>
      <c r="P338" s="60"/>
      <c r="Q338" s="60"/>
      <c r="R338" s="60"/>
      <c r="S338" s="70"/>
      <c r="T338" s="70"/>
      <c r="U338" s="70"/>
      <c r="V338" s="70"/>
      <c r="W338" s="70"/>
      <c r="X338" s="70"/>
      <c r="Y338" s="70"/>
      <c r="Z338" s="70"/>
      <c r="AA338" s="70"/>
      <c r="AB338" s="70"/>
      <c r="AC338" s="70"/>
      <c r="AD338" s="136"/>
      <c r="AE338" s="24"/>
      <c r="AF338" s="24"/>
      <c r="AG338" s="73"/>
      <c r="AH338" s="125"/>
      <c r="AI338" s="103"/>
      <c r="AK338" s="113"/>
      <c r="AL338" s="113"/>
      <c r="AM338" s="113"/>
      <c r="AN338" s="113"/>
      <c r="AO338" s="137"/>
      <c r="AP338" s="137"/>
      <c r="AQ338" s="137"/>
      <c r="AR338" s="137"/>
      <c r="AS338" s="137"/>
      <c r="AT338" s="137"/>
      <c r="AU338" s="67"/>
      <c r="AV338" s="44"/>
      <c r="AW338" s="67"/>
      <c r="AX338" s="75"/>
      <c r="AY338" s="123"/>
      <c r="AZ338" s="67"/>
      <c r="BA338" s="138"/>
      <c r="BB338" s="67"/>
      <c r="BC338" s="67"/>
      <c r="BD338" s="67"/>
      <c r="BE338" s="67"/>
      <c r="BF338" s="67"/>
      <c r="BG338" s="67"/>
      <c r="BH338" s="67"/>
      <c r="BI338" s="67"/>
      <c r="BJ338" s="67"/>
      <c r="BK338" s="67"/>
      <c r="BL338" s="67"/>
      <c r="BM338" s="70"/>
      <c r="BN338" s="70"/>
      <c r="BO338" s="70"/>
      <c r="BP338" s="70"/>
      <c r="BQ338" s="70"/>
      <c r="BR338" s="70"/>
      <c r="BS338" s="70"/>
      <c r="BT338" s="70"/>
      <c r="BU338" s="70"/>
      <c r="BV338" s="70"/>
      <c r="BW338" s="70"/>
      <c r="BX338" s="136"/>
      <c r="BY338" s="70"/>
      <c r="BZ338" s="67"/>
      <c r="CA338" s="67"/>
      <c r="CB338" s="67"/>
    </row>
    <row r="339" spans="1:80" s="28" customFormat="1" ht="16" customHeight="1">
      <c r="A339" s="39"/>
      <c r="B339" s="57"/>
      <c r="C339" s="67"/>
      <c r="D339" s="67"/>
      <c r="E339" s="39"/>
      <c r="F339" s="39"/>
      <c r="G339" s="39"/>
      <c r="H339" s="67"/>
      <c r="I339" s="60"/>
      <c r="J339" s="60"/>
      <c r="K339" s="60"/>
      <c r="L339" s="60"/>
      <c r="M339" s="60"/>
      <c r="N339" s="60"/>
      <c r="O339" s="60"/>
      <c r="P339" s="60"/>
      <c r="Q339" s="60"/>
      <c r="R339" s="60"/>
      <c r="S339" s="70"/>
      <c r="T339" s="70"/>
      <c r="U339" s="70"/>
      <c r="V339" s="70"/>
      <c r="W339" s="70"/>
      <c r="X339" s="70"/>
      <c r="Y339" s="70"/>
      <c r="Z339" s="70"/>
      <c r="AA339" s="70"/>
      <c r="AB339" s="70"/>
      <c r="AC339" s="70"/>
      <c r="AD339" s="136"/>
      <c r="AE339" s="24"/>
      <c r="AF339" s="24"/>
      <c r="AG339" s="73"/>
      <c r="AH339" s="125"/>
      <c r="AI339" s="103"/>
      <c r="AK339" s="113"/>
      <c r="AL339" s="113"/>
      <c r="AM339" s="113"/>
      <c r="AN339" s="113"/>
      <c r="AO339" s="137"/>
      <c r="AP339" s="137"/>
      <c r="AQ339" s="137"/>
      <c r="AR339" s="137"/>
      <c r="AS339" s="137"/>
      <c r="AT339" s="137"/>
      <c r="AU339" s="67"/>
      <c r="AV339" s="44"/>
      <c r="AW339" s="67"/>
      <c r="AX339" s="75"/>
      <c r="AY339" s="123"/>
      <c r="AZ339" s="67"/>
      <c r="BA339" s="138"/>
      <c r="BB339" s="67"/>
      <c r="BC339" s="67"/>
      <c r="BD339" s="67"/>
      <c r="BE339" s="67"/>
      <c r="BF339" s="67"/>
      <c r="BG339" s="67"/>
      <c r="BH339" s="67"/>
      <c r="BI339" s="67"/>
      <c r="BJ339" s="67"/>
      <c r="BK339" s="67"/>
      <c r="BL339" s="67"/>
      <c r="BM339" s="70"/>
      <c r="BN339" s="70"/>
      <c r="BO339" s="70"/>
      <c r="BP339" s="70"/>
      <c r="BQ339" s="70"/>
      <c r="BR339" s="70"/>
      <c r="BS339" s="70"/>
      <c r="BT339" s="70"/>
      <c r="BU339" s="70"/>
      <c r="BV339" s="70"/>
      <c r="BW339" s="70"/>
      <c r="BX339" s="136"/>
      <c r="BY339" s="70"/>
      <c r="BZ339" s="67"/>
      <c r="CA339" s="67"/>
      <c r="CB339" s="67"/>
    </row>
    <row r="340" spans="1:80" s="28" customFormat="1" ht="16" customHeight="1">
      <c r="A340" s="39"/>
      <c r="B340" s="57"/>
      <c r="C340" s="67"/>
      <c r="D340" s="67"/>
      <c r="E340" s="39"/>
      <c r="F340" s="39"/>
      <c r="G340" s="39"/>
      <c r="H340" s="67"/>
      <c r="I340" s="60"/>
      <c r="J340" s="60"/>
      <c r="K340" s="60"/>
      <c r="L340" s="60"/>
      <c r="M340" s="60"/>
      <c r="N340" s="60"/>
      <c r="O340" s="60"/>
      <c r="P340" s="60"/>
      <c r="Q340" s="60"/>
      <c r="R340" s="60"/>
      <c r="S340" s="70"/>
      <c r="T340" s="70"/>
      <c r="U340" s="70"/>
      <c r="V340" s="70"/>
      <c r="W340" s="70"/>
      <c r="X340" s="70"/>
      <c r="Y340" s="70"/>
      <c r="Z340" s="70"/>
      <c r="AA340" s="70"/>
      <c r="AB340" s="70"/>
      <c r="AC340" s="70"/>
      <c r="AD340" s="136"/>
      <c r="AE340" s="24"/>
      <c r="AF340" s="24"/>
      <c r="AG340" s="73"/>
      <c r="AH340" s="125"/>
      <c r="AI340" s="103"/>
      <c r="AK340" s="113"/>
      <c r="AL340" s="113"/>
      <c r="AM340" s="113"/>
      <c r="AN340" s="113"/>
      <c r="AO340" s="137"/>
      <c r="AP340" s="137"/>
      <c r="AQ340" s="137"/>
      <c r="AR340" s="137"/>
      <c r="AS340" s="137"/>
      <c r="AT340" s="137"/>
      <c r="AU340" s="67"/>
      <c r="AV340" s="44"/>
      <c r="AW340" s="67"/>
      <c r="AX340" s="75"/>
      <c r="AY340" s="123"/>
      <c r="AZ340" s="67"/>
      <c r="BA340" s="138"/>
      <c r="BB340" s="67"/>
      <c r="BC340" s="67"/>
      <c r="BD340" s="67"/>
      <c r="BE340" s="67"/>
      <c r="BF340" s="67"/>
      <c r="BG340" s="67"/>
      <c r="BH340" s="67"/>
      <c r="BI340" s="67"/>
      <c r="BJ340" s="67"/>
      <c r="BK340" s="67"/>
      <c r="BL340" s="67"/>
      <c r="BM340" s="70"/>
      <c r="BN340" s="70"/>
      <c r="BO340" s="70"/>
      <c r="BP340" s="70"/>
      <c r="BQ340" s="70"/>
      <c r="BR340" s="70"/>
      <c r="BS340" s="70"/>
      <c r="BT340" s="70"/>
      <c r="BU340" s="70"/>
      <c r="BV340" s="70"/>
      <c r="BW340" s="70"/>
      <c r="BX340" s="136"/>
      <c r="BY340" s="70"/>
      <c r="BZ340" s="67"/>
      <c r="CA340" s="67"/>
      <c r="CB340" s="67"/>
    </row>
    <row r="341" spans="1:80" s="28" customFormat="1" ht="16" customHeight="1">
      <c r="A341" s="39"/>
      <c r="B341" s="57"/>
      <c r="C341" s="67"/>
      <c r="D341" s="67"/>
      <c r="E341" s="39"/>
      <c r="F341" s="39"/>
      <c r="G341" s="39"/>
      <c r="H341" s="67"/>
      <c r="I341" s="60"/>
      <c r="J341" s="60"/>
      <c r="K341" s="60"/>
      <c r="L341" s="60"/>
      <c r="M341" s="60"/>
      <c r="N341" s="60"/>
      <c r="O341" s="60"/>
      <c r="P341" s="60"/>
      <c r="Q341" s="60"/>
      <c r="R341" s="60"/>
      <c r="S341" s="70"/>
      <c r="T341" s="70"/>
      <c r="U341" s="70"/>
      <c r="V341" s="70"/>
      <c r="W341" s="70"/>
      <c r="X341" s="70"/>
      <c r="Y341" s="70"/>
      <c r="Z341" s="70"/>
      <c r="AA341" s="70"/>
      <c r="AB341" s="70"/>
      <c r="AC341" s="70"/>
      <c r="AD341" s="136"/>
      <c r="AE341" s="24"/>
      <c r="AF341" s="24"/>
      <c r="AG341" s="73"/>
      <c r="AH341" s="125"/>
      <c r="AI341" s="103"/>
      <c r="AK341" s="113"/>
      <c r="AL341" s="113"/>
      <c r="AM341" s="113"/>
      <c r="AN341" s="113"/>
      <c r="AO341" s="137"/>
      <c r="AP341" s="137"/>
      <c r="AQ341" s="137"/>
      <c r="AR341" s="137"/>
      <c r="AS341" s="137"/>
      <c r="AT341" s="137"/>
      <c r="AU341" s="67"/>
      <c r="AV341" s="44"/>
      <c r="AW341" s="67"/>
      <c r="AX341" s="75"/>
      <c r="AY341" s="123"/>
      <c r="AZ341" s="67"/>
      <c r="BA341" s="138"/>
      <c r="BB341" s="67"/>
      <c r="BC341" s="67"/>
      <c r="BD341" s="67"/>
      <c r="BE341" s="67"/>
      <c r="BF341" s="67"/>
      <c r="BG341" s="67"/>
      <c r="BH341" s="67"/>
      <c r="BI341" s="67"/>
      <c r="BJ341" s="67"/>
      <c r="BK341" s="67"/>
      <c r="BL341" s="67"/>
      <c r="BM341" s="70"/>
      <c r="BN341" s="70"/>
      <c r="BO341" s="70"/>
      <c r="BP341" s="70"/>
      <c r="BQ341" s="70"/>
      <c r="BR341" s="70"/>
      <c r="BS341" s="70"/>
      <c r="BT341" s="70"/>
      <c r="BU341" s="70"/>
      <c r="BV341" s="70"/>
      <c r="BW341" s="70"/>
      <c r="BX341" s="136"/>
      <c r="BY341" s="70"/>
      <c r="BZ341" s="67"/>
      <c r="CA341" s="67"/>
      <c r="CB341" s="67"/>
    </row>
    <row r="342" spans="1:80" s="28" customFormat="1" ht="16" customHeight="1">
      <c r="A342" s="39"/>
      <c r="B342" s="57"/>
      <c r="C342" s="67"/>
      <c r="D342" s="67"/>
      <c r="E342" s="39"/>
      <c r="F342" s="39"/>
      <c r="G342" s="39"/>
      <c r="H342" s="67"/>
      <c r="I342" s="60"/>
      <c r="J342" s="60"/>
      <c r="K342" s="60"/>
      <c r="L342" s="60"/>
      <c r="M342" s="60"/>
      <c r="N342" s="60"/>
      <c r="O342" s="60"/>
      <c r="P342" s="60"/>
      <c r="Q342" s="60"/>
      <c r="R342" s="60"/>
      <c r="S342" s="70"/>
      <c r="T342" s="70"/>
      <c r="U342" s="70"/>
      <c r="V342" s="70"/>
      <c r="W342" s="70"/>
      <c r="X342" s="70"/>
      <c r="Y342" s="70"/>
      <c r="Z342" s="70"/>
      <c r="AA342" s="70"/>
      <c r="AB342" s="70"/>
      <c r="AC342" s="70"/>
      <c r="AD342" s="136"/>
      <c r="AE342" s="24"/>
      <c r="AF342" s="24"/>
      <c r="AG342" s="73"/>
      <c r="AH342" s="125"/>
      <c r="AI342" s="103"/>
      <c r="AK342" s="113"/>
      <c r="AL342" s="113"/>
      <c r="AM342" s="113"/>
      <c r="AN342" s="113"/>
      <c r="AO342" s="137"/>
      <c r="AP342" s="137"/>
      <c r="AQ342" s="137"/>
      <c r="AR342" s="137"/>
      <c r="AS342" s="137"/>
      <c r="AT342" s="137"/>
      <c r="AU342" s="67"/>
      <c r="AV342" s="44"/>
      <c r="AW342" s="67"/>
      <c r="AX342" s="75"/>
      <c r="AY342" s="123"/>
      <c r="AZ342" s="67"/>
      <c r="BA342" s="138"/>
      <c r="BB342" s="67"/>
      <c r="BC342" s="67"/>
      <c r="BD342" s="67"/>
      <c r="BE342" s="67"/>
      <c r="BF342" s="67"/>
      <c r="BG342" s="67"/>
      <c r="BH342" s="67"/>
      <c r="BI342" s="67"/>
      <c r="BJ342" s="67"/>
      <c r="BK342" s="67"/>
      <c r="BL342" s="67"/>
      <c r="BM342" s="70"/>
      <c r="BN342" s="70"/>
      <c r="BO342" s="70"/>
      <c r="BP342" s="70"/>
      <c r="BQ342" s="70"/>
      <c r="BR342" s="70"/>
      <c r="BS342" s="70"/>
      <c r="BT342" s="70"/>
      <c r="BU342" s="70"/>
      <c r="BV342" s="70"/>
      <c r="BW342" s="70"/>
      <c r="BX342" s="136"/>
      <c r="BY342" s="70"/>
      <c r="BZ342" s="67"/>
      <c r="CA342" s="67"/>
      <c r="CB342" s="67"/>
    </row>
    <row r="343" spans="1:80" s="28" customFormat="1" ht="16" customHeight="1">
      <c r="A343" s="39"/>
      <c r="B343" s="57"/>
      <c r="C343" s="67"/>
      <c r="D343" s="67"/>
      <c r="E343" s="39"/>
      <c r="F343" s="39"/>
      <c r="G343" s="39"/>
      <c r="H343" s="67"/>
      <c r="I343" s="60"/>
      <c r="J343" s="60"/>
      <c r="K343" s="60"/>
      <c r="L343" s="60"/>
      <c r="M343" s="60"/>
      <c r="N343" s="60"/>
      <c r="O343" s="60"/>
      <c r="P343" s="60"/>
      <c r="Q343" s="60"/>
      <c r="R343" s="60"/>
      <c r="S343" s="70"/>
      <c r="T343" s="70"/>
      <c r="U343" s="70"/>
      <c r="V343" s="70"/>
      <c r="W343" s="70"/>
      <c r="X343" s="70"/>
      <c r="Y343" s="70"/>
      <c r="Z343" s="70"/>
      <c r="AA343" s="70"/>
      <c r="AB343" s="70"/>
      <c r="AC343" s="70"/>
      <c r="AD343" s="136"/>
      <c r="AE343" s="24"/>
      <c r="AF343" s="24"/>
      <c r="AG343" s="73"/>
      <c r="AH343" s="125"/>
      <c r="AI343" s="103"/>
      <c r="AK343" s="113"/>
      <c r="AL343" s="113"/>
      <c r="AM343" s="113"/>
      <c r="AN343" s="113"/>
      <c r="AO343" s="137"/>
      <c r="AP343" s="137"/>
      <c r="AQ343" s="137"/>
      <c r="AR343" s="137"/>
      <c r="AS343" s="137"/>
      <c r="AT343" s="137"/>
      <c r="AU343" s="67"/>
      <c r="AV343" s="44"/>
      <c r="AW343" s="67"/>
      <c r="AX343" s="75"/>
      <c r="AY343" s="123"/>
      <c r="AZ343" s="67"/>
      <c r="BA343" s="138"/>
      <c r="BB343" s="67"/>
      <c r="BC343" s="67"/>
      <c r="BD343" s="67"/>
      <c r="BE343" s="67"/>
      <c r="BF343" s="67"/>
      <c r="BG343" s="67"/>
      <c r="BH343" s="67"/>
      <c r="BI343" s="67"/>
      <c r="BJ343" s="67"/>
      <c r="BK343" s="67"/>
      <c r="BL343" s="67"/>
      <c r="BM343" s="70"/>
      <c r="BN343" s="70"/>
      <c r="BO343" s="70"/>
      <c r="BP343" s="70"/>
      <c r="BQ343" s="70"/>
      <c r="BR343" s="70"/>
      <c r="BS343" s="70"/>
      <c r="BT343" s="70"/>
      <c r="BU343" s="70"/>
      <c r="BV343" s="70"/>
      <c r="BW343" s="70"/>
      <c r="BX343" s="136"/>
      <c r="BY343" s="70"/>
      <c r="BZ343" s="67"/>
      <c r="CA343" s="67"/>
      <c r="CB343" s="67"/>
    </row>
    <row r="344" spans="1:80" s="28" customFormat="1" ht="16" customHeight="1">
      <c r="A344" s="39"/>
      <c r="B344" s="57"/>
      <c r="C344" s="67"/>
      <c r="D344" s="67"/>
      <c r="E344" s="39"/>
      <c r="F344" s="39"/>
      <c r="G344" s="39"/>
      <c r="H344" s="67"/>
      <c r="I344" s="60"/>
      <c r="J344" s="60"/>
      <c r="K344" s="60"/>
      <c r="L344" s="60"/>
      <c r="M344" s="60"/>
      <c r="N344" s="60"/>
      <c r="O344" s="60"/>
      <c r="P344" s="60"/>
      <c r="Q344" s="60"/>
      <c r="R344" s="60"/>
      <c r="S344" s="70"/>
      <c r="T344" s="70"/>
      <c r="U344" s="70"/>
      <c r="V344" s="70"/>
      <c r="W344" s="70"/>
      <c r="X344" s="70"/>
      <c r="Y344" s="70"/>
      <c r="Z344" s="70"/>
      <c r="AA344" s="70"/>
      <c r="AB344" s="70"/>
      <c r="AC344" s="70"/>
      <c r="AD344" s="136"/>
      <c r="AE344" s="24"/>
      <c r="AF344" s="24"/>
      <c r="AG344" s="73"/>
      <c r="AH344" s="125"/>
      <c r="AI344" s="103"/>
      <c r="AK344" s="113"/>
      <c r="AL344" s="113"/>
      <c r="AM344" s="113"/>
      <c r="AN344" s="113"/>
      <c r="AO344" s="137"/>
      <c r="AP344" s="137"/>
      <c r="AQ344" s="137"/>
      <c r="AR344" s="137"/>
      <c r="AS344" s="137"/>
      <c r="AT344" s="137"/>
      <c r="AU344" s="67"/>
      <c r="AV344" s="44"/>
      <c r="AW344" s="67"/>
      <c r="AX344" s="75"/>
      <c r="AY344" s="123"/>
      <c r="AZ344" s="67"/>
      <c r="BA344" s="138"/>
      <c r="BB344" s="67"/>
      <c r="BC344" s="67"/>
      <c r="BD344" s="67"/>
      <c r="BE344" s="67"/>
      <c r="BF344" s="67"/>
      <c r="BG344" s="67"/>
      <c r="BH344" s="67"/>
      <c r="BI344" s="67"/>
      <c r="BJ344" s="67"/>
      <c r="BK344" s="67"/>
      <c r="BL344" s="67"/>
      <c r="BM344" s="70"/>
      <c r="BN344" s="70"/>
      <c r="BO344" s="70"/>
      <c r="BP344" s="70"/>
      <c r="BQ344" s="70"/>
      <c r="BR344" s="70"/>
      <c r="BS344" s="70"/>
      <c r="BT344" s="70"/>
      <c r="BU344" s="70"/>
      <c r="BV344" s="70"/>
      <c r="BW344" s="70"/>
      <c r="BX344" s="136"/>
      <c r="BY344" s="70"/>
      <c r="BZ344" s="67"/>
      <c r="CA344" s="67"/>
      <c r="CB344" s="67"/>
    </row>
    <row r="345" spans="1:80" s="28" customFormat="1" ht="16" customHeight="1">
      <c r="A345" s="39"/>
      <c r="B345" s="57"/>
      <c r="C345" s="67"/>
      <c r="D345" s="67"/>
      <c r="E345" s="39"/>
      <c r="F345" s="39"/>
      <c r="G345" s="39"/>
      <c r="H345" s="67"/>
      <c r="I345" s="60"/>
      <c r="J345" s="60"/>
      <c r="K345" s="60"/>
      <c r="L345" s="60"/>
      <c r="M345" s="60"/>
      <c r="N345" s="60"/>
      <c r="O345" s="60"/>
      <c r="P345" s="60"/>
      <c r="Q345" s="60"/>
      <c r="R345" s="60"/>
      <c r="S345" s="70"/>
      <c r="T345" s="70"/>
      <c r="U345" s="70"/>
      <c r="V345" s="70"/>
      <c r="W345" s="70"/>
      <c r="X345" s="70"/>
      <c r="Y345" s="70"/>
      <c r="Z345" s="70"/>
      <c r="AA345" s="70"/>
      <c r="AB345" s="70"/>
      <c r="AC345" s="70"/>
      <c r="AD345" s="136"/>
      <c r="AE345" s="24"/>
      <c r="AF345" s="24"/>
      <c r="AG345" s="73"/>
      <c r="AH345" s="125"/>
      <c r="AI345" s="103"/>
      <c r="AK345" s="113"/>
      <c r="AL345" s="113"/>
      <c r="AM345" s="113"/>
      <c r="AN345" s="113"/>
      <c r="AO345" s="137"/>
      <c r="AP345" s="137"/>
      <c r="AQ345" s="137"/>
      <c r="AR345" s="137"/>
      <c r="AS345" s="137"/>
      <c r="AT345" s="137"/>
      <c r="AU345" s="67"/>
      <c r="AV345" s="44"/>
      <c r="AW345" s="67"/>
      <c r="AX345" s="75"/>
      <c r="AY345" s="123"/>
      <c r="AZ345" s="67"/>
      <c r="BA345" s="138"/>
      <c r="BB345" s="67"/>
      <c r="BC345" s="67"/>
      <c r="BD345" s="67"/>
      <c r="BE345" s="67"/>
      <c r="BF345" s="67"/>
      <c r="BG345" s="67"/>
      <c r="BH345" s="67"/>
      <c r="BI345" s="67"/>
      <c r="BJ345" s="67"/>
      <c r="BK345" s="67"/>
      <c r="BL345" s="67"/>
      <c r="BM345" s="70"/>
      <c r="BN345" s="70"/>
      <c r="BO345" s="70"/>
      <c r="BP345" s="70"/>
      <c r="BQ345" s="70"/>
      <c r="BR345" s="70"/>
      <c r="BS345" s="70"/>
      <c r="BT345" s="70"/>
      <c r="BU345" s="70"/>
      <c r="BV345" s="70"/>
      <c r="BW345" s="70"/>
      <c r="BX345" s="136"/>
      <c r="BY345" s="70"/>
      <c r="BZ345" s="67"/>
      <c r="CA345" s="67"/>
      <c r="CB345" s="67"/>
    </row>
    <row r="346" spans="1:80" s="28" customFormat="1" ht="16" customHeight="1">
      <c r="A346" s="39"/>
      <c r="B346" s="57"/>
      <c r="C346" s="67"/>
      <c r="D346" s="67"/>
      <c r="E346" s="39"/>
      <c r="F346" s="39"/>
      <c r="G346" s="39"/>
      <c r="H346" s="67"/>
      <c r="I346" s="60"/>
      <c r="J346" s="60"/>
      <c r="K346" s="60"/>
      <c r="L346" s="60"/>
      <c r="M346" s="60"/>
      <c r="N346" s="60"/>
      <c r="O346" s="60"/>
      <c r="P346" s="60"/>
      <c r="Q346" s="60"/>
      <c r="R346" s="60"/>
      <c r="S346" s="70"/>
      <c r="T346" s="70"/>
      <c r="U346" s="70"/>
      <c r="V346" s="70"/>
      <c r="W346" s="70"/>
      <c r="X346" s="70"/>
      <c r="Y346" s="70"/>
      <c r="Z346" s="70"/>
      <c r="AA346" s="70"/>
      <c r="AB346" s="70"/>
      <c r="AC346" s="70"/>
      <c r="AD346" s="136"/>
      <c r="AE346" s="24"/>
      <c r="AF346" s="24"/>
      <c r="AG346" s="73"/>
      <c r="AH346" s="125"/>
      <c r="AI346" s="103"/>
      <c r="AK346" s="113"/>
      <c r="AL346" s="113"/>
      <c r="AM346" s="113"/>
      <c r="AN346" s="113"/>
      <c r="AO346" s="137"/>
      <c r="AP346" s="137"/>
      <c r="AQ346" s="137"/>
      <c r="AR346" s="137"/>
      <c r="AS346" s="137"/>
      <c r="AT346" s="137"/>
      <c r="AU346" s="67"/>
      <c r="AV346" s="44"/>
      <c r="AW346" s="67"/>
      <c r="AX346" s="75"/>
      <c r="AY346" s="123"/>
      <c r="AZ346" s="67"/>
      <c r="BA346" s="138"/>
      <c r="BB346" s="67"/>
      <c r="BC346" s="67"/>
      <c r="BD346" s="67"/>
      <c r="BE346" s="67"/>
      <c r="BF346" s="67"/>
      <c r="BG346" s="67"/>
      <c r="BH346" s="67"/>
      <c r="BI346" s="67"/>
      <c r="BJ346" s="67"/>
      <c r="BK346" s="67"/>
      <c r="BL346" s="67"/>
      <c r="BM346" s="70"/>
      <c r="BN346" s="70"/>
      <c r="BO346" s="70"/>
      <c r="BP346" s="70"/>
      <c r="BQ346" s="70"/>
      <c r="BR346" s="70"/>
      <c r="BS346" s="70"/>
      <c r="BT346" s="70"/>
      <c r="BU346" s="70"/>
      <c r="BV346" s="70"/>
      <c r="BW346" s="70"/>
      <c r="BX346" s="136"/>
      <c r="BY346" s="70"/>
      <c r="BZ346" s="67"/>
      <c r="CA346" s="67"/>
      <c r="CB346" s="67"/>
    </row>
    <row r="347" spans="1:80" s="28" customFormat="1" ht="16" customHeight="1">
      <c r="A347" s="39"/>
      <c r="B347" s="57"/>
      <c r="C347" s="67"/>
      <c r="D347" s="67"/>
      <c r="E347" s="39"/>
      <c r="F347" s="39"/>
      <c r="G347" s="39"/>
      <c r="H347" s="67"/>
      <c r="I347" s="60"/>
      <c r="J347" s="60"/>
      <c r="K347" s="60"/>
      <c r="L347" s="60"/>
      <c r="M347" s="60"/>
      <c r="N347" s="60"/>
      <c r="O347" s="60"/>
      <c r="P347" s="60"/>
      <c r="Q347" s="60"/>
      <c r="R347" s="60"/>
      <c r="S347" s="70"/>
      <c r="T347" s="70"/>
      <c r="U347" s="70"/>
      <c r="V347" s="70"/>
      <c r="W347" s="70"/>
      <c r="X347" s="70"/>
      <c r="Y347" s="70"/>
      <c r="Z347" s="70"/>
      <c r="AA347" s="70"/>
      <c r="AB347" s="70"/>
      <c r="AC347" s="70"/>
      <c r="AD347" s="136"/>
      <c r="AE347" s="24"/>
      <c r="AF347" s="24"/>
      <c r="AG347" s="73"/>
      <c r="AH347" s="125"/>
      <c r="AI347" s="103"/>
      <c r="AK347" s="113"/>
      <c r="AL347" s="113"/>
      <c r="AM347" s="113"/>
      <c r="AN347" s="113"/>
      <c r="AO347" s="137"/>
      <c r="AP347" s="137"/>
      <c r="AQ347" s="137"/>
      <c r="AR347" s="137"/>
      <c r="AS347" s="137"/>
      <c r="AT347" s="137"/>
      <c r="AU347" s="67"/>
      <c r="AV347" s="44"/>
      <c r="AW347" s="67"/>
      <c r="AX347" s="75"/>
      <c r="AY347" s="123"/>
      <c r="AZ347" s="67"/>
      <c r="BA347" s="138"/>
      <c r="BB347" s="67"/>
      <c r="BC347" s="67"/>
      <c r="BD347" s="67"/>
      <c r="BE347" s="67"/>
      <c r="BF347" s="67"/>
      <c r="BG347" s="67"/>
      <c r="BH347" s="67"/>
      <c r="BI347" s="67"/>
      <c r="BJ347" s="67"/>
      <c r="BK347" s="67"/>
      <c r="BL347" s="67"/>
      <c r="BM347" s="70"/>
      <c r="BN347" s="70"/>
      <c r="BO347" s="70"/>
      <c r="BP347" s="70"/>
      <c r="BQ347" s="70"/>
      <c r="BR347" s="70"/>
      <c r="BS347" s="70"/>
      <c r="BT347" s="70"/>
      <c r="BU347" s="70"/>
      <c r="BV347" s="70"/>
      <c r="BW347" s="70"/>
      <c r="BX347" s="136"/>
      <c r="BY347" s="70"/>
      <c r="BZ347" s="67"/>
      <c r="CA347" s="67"/>
      <c r="CB347" s="67"/>
    </row>
    <row r="348" spans="1:80" s="28" customFormat="1" ht="16" customHeight="1">
      <c r="A348" s="39"/>
      <c r="B348" s="57"/>
      <c r="C348" s="67"/>
      <c r="D348" s="67"/>
      <c r="E348" s="39"/>
      <c r="F348" s="39"/>
      <c r="G348" s="39"/>
      <c r="H348" s="67"/>
      <c r="I348" s="60"/>
      <c r="J348" s="60"/>
      <c r="K348" s="60"/>
      <c r="L348" s="60"/>
      <c r="M348" s="60"/>
      <c r="N348" s="60"/>
      <c r="O348" s="60"/>
      <c r="P348" s="60"/>
      <c r="Q348" s="60"/>
      <c r="R348" s="60"/>
      <c r="S348" s="70"/>
      <c r="T348" s="70"/>
      <c r="U348" s="70"/>
      <c r="V348" s="70"/>
      <c r="W348" s="70"/>
      <c r="X348" s="70"/>
      <c r="Y348" s="70"/>
      <c r="Z348" s="70"/>
      <c r="AA348" s="70"/>
      <c r="AB348" s="70"/>
      <c r="AC348" s="70"/>
      <c r="AD348" s="136"/>
      <c r="AE348" s="24"/>
      <c r="AF348" s="24"/>
      <c r="AG348" s="73"/>
      <c r="AH348" s="125"/>
      <c r="AI348" s="103"/>
      <c r="AK348" s="113"/>
      <c r="AL348" s="113"/>
      <c r="AM348" s="113"/>
      <c r="AN348" s="113"/>
      <c r="AO348" s="137"/>
      <c r="AP348" s="137"/>
      <c r="AQ348" s="137"/>
      <c r="AR348" s="137"/>
      <c r="AS348" s="137"/>
      <c r="AT348" s="137"/>
      <c r="AU348" s="67"/>
      <c r="AV348" s="44"/>
      <c r="AW348" s="67"/>
      <c r="AX348" s="75"/>
      <c r="AY348" s="123"/>
      <c r="AZ348" s="67"/>
      <c r="BA348" s="138"/>
      <c r="BB348" s="67"/>
      <c r="BC348" s="67"/>
      <c r="BD348" s="67"/>
      <c r="BE348" s="67"/>
      <c r="BF348" s="67"/>
      <c r="BG348" s="67"/>
      <c r="BH348" s="67"/>
      <c r="BI348" s="67"/>
      <c r="BJ348" s="67"/>
      <c r="BK348" s="67"/>
      <c r="BL348" s="67"/>
      <c r="BM348" s="70"/>
      <c r="BN348" s="70"/>
      <c r="BO348" s="70"/>
      <c r="BP348" s="70"/>
      <c r="BQ348" s="70"/>
      <c r="BR348" s="70"/>
      <c r="BS348" s="70"/>
      <c r="BT348" s="70"/>
      <c r="BU348" s="70"/>
      <c r="BV348" s="70"/>
      <c r="BW348" s="70"/>
      <c r="BX348" s="136"/>
      <c r="BY348" s="70"/>
      <c r="BZ348" s="67"/>
      <c r="CA348" s="67"/>
      <c r="CB348" s="67"/>
    </row>
    <row r="349" spans="1:80" s="28" customFormat="1" ht="16" customHeight="1">
      <c r="A349" s="39"/>
      <c r="B349" s="57"/>
      <c r="C349" s="67"/>
      <c r="D349" s="67"/>
      <c r="E349" s="39"/>
      <c r="F349" s="39"/>
      <c r="G349" s="39"/>
      <c r="H349" s="67"/>
      <c r="I349" s="60"/>
      <c r="J349" s="60"/>
      <c r="K349" s="60"/>
      <c r="L349" s="60"/>
      <c r="M349" s="60"/>
      <c r="N349" s="60"/>
      <c r="O349" s="60"/>
      <c r="P349" s="60"/>
      <c r="Q349" s="60"/>
      <c r="R349" s="60"/>
      <c r="S349" s="70"/>
      <c r="T349" s="70"/>
      <c r="U349" s="70"/>
      <c r="V349" s="70"/>
      <c r="W349" s="70"/>
      <c r="X349" s="70"/>
      <c r="Y349" s="70"/>
      <c r="Z349" s="70"/>
      <c r="AA349" s="70"/>
      <c r="AB349" s="70"/>
      <c r="AC349" s="70"/>
      <c r="AD349" s="136"/>
      <c r="AE349" s="24"/>
      <c r="AF349" s="24"/>
      <c r="AG349" s="73"/>
      <c r="AH349" s="125"/>
      <c r="AI349" s="103"/>
      <c r="AK349" s="113"/>
      <c r="AL349" s="113"/>
      <c r="AM349" s="113"/>
      <c r="AN349" s="113"/>
      <c r="AO349" s="137"/>
      <c r="AP349" s="137"/>
      <c r="AQ349" s="137"/>
      <c r="AR349" s="137"/>
      <c r="AS349" s="137"/>
      <c r="AT349" s="137"/>
      <c r="AU349" s="67"/>
      <c r="AV349" s="44"/>
      <c r="AW349" s="67"/>
      <c r="AX349" s="75"/>
      <c r="AY349" s="123"/>
      <c r="AZ349" s="67"/>
      <c r="BA349" s="138"/>
      <c r="BB349" s="67"/>
      <c r="BC349" s="67"/>
      <c r="BD349" s="67"/>
      <c r="BE349" s="67"/>
      <c r="BF349" s="67"/>
      <c r="BG349" s="67"/>
      <c r="BH349" s="67"/>
      <c r="BI349" s="67"/>
      <c r="BJ349" s="67"/>
      <c r="BK349" s="67"/>
      <c r="BL349" s="67"/>
      <c r="BM349" s="70"/>
      <c r="BN349" s="70"/>
      <c r="BO349" s="70"/>
      <c r="BP349" s="70"/>
      <c r="BQ349" s="70"/>
      <c r="BR349" s="70"/>
      <c r="BS349" s="70"/>
      <c r="BT349" s="70"/>
      <c r="BU349" s="70"/>
      <c r="BV349" s="70"/>
      <c r="BW349" s="70"/>
      <c r="BX349" s="136"/>
      <c r="BY349" s="70"/>
      <c r="BZ349" s="67"/>
      <c r="CA349" s="67"/>
      <c r="CB349" s="67"/>
    </row>
    <row r="350" spans="1:80" s="28" customFormat="1" ht="16" customHeight="1">
      <c r="A350" s="39"/>
      <c r="B350" s="57"/>
      <c r="C350" s="67"/>
      <c r="D350" s="67"/>
      <c r="E350" s="39"/>
      <c r="F350" s="39"/>
      <c r="G350" s="39"/>
      <c r="H350" s="67"/>
      <c r="I350" s="60"/>
      <c r="J350" s="60"/>
      <c r="K350" s="60"/>
      <c r="L350" s="60"/>
      <c r="M350" s="60"/>
      <c r="N350" s="60"/>
      <c r="O350" s="60"/>
      <c r="P350" s="60"/>
      <c r="Q350" s="60"/>
      <c r="R350" s="60"/>
      <c r="S350" s="70"/>
      <c r="T350" s="70"/>
      <c r="U350" s="70"/>
      <c r="V350" s="70"/>
      <c r="W350" s="70"/>
      <c r="X350" s="70"/>
      <c r="Y350" s="70"/>
      <c r="Z350" s="70"/>
      <c r="AA350" s="70"/>
      <c r="AB350" s="70"/>
      <c r="AC350" s="70"/>
      <c r="AD350" s="136"/>
      <c r="AE350" s="24"/>
      <c r="AF350" s="24"/>
      <c r="AG350" s="73"/>
      <c r="AH350" s="125"/>
      <c r="AI350" s="103"/>
      <c r="AK350" s="113"/>
      <c r="AL350" s="113"/>
      <c r="AM350" s="113"/>
      <c r="AN350" s="113"/>
      <c r="AO350" s="137"/>
      <c r="AP350" s="137"/>
      <c r="AQ350" s="137"/>
      <c r="AR350" s="137"/>
      <c r="AS350" s="137"/>
      <c r="AT350" s="137"/>
      <c r="AU350" s="67"/>
      <c r="AV350" s="44"/>
      <c r="AW350" s="67"/>
      <c r="AX350" s="75"/>
      <c r="AY350" s="123"/>
      <c r="AZ350" s="67"/>
      <c r="BA350" s="138"/>
      <c r="BB350" s="67"/>
      <c r="BC350" s="67"/>
      <c r="BD350" s="67"/>
      <c r="BE350" s="67"/>
      <c r="BF350" s="67"/>
      <c r="BG350" s="67"/>
      <c r="BH350" s="67"/>
      <c r="BI350" s="67"/>
      <c r="BJ350" s="67"/>
      <c r="BK350" s="67"/>
      <c r="BL350" s="67"/>
      <c r="BM350" s="70"/>
      <c r="BN350" s="70"/>
      <c r="BO350" s="70"/>
      <c r="BP350" s="70"/>
      <c r="BQ350" s="70"/>
      <c r="BR350" s="70"/>
      <c r="BS350" s="70"/>
      <c r="BT350" s="70"/>
      <c r="BU350" s="70"/>
      <c r="BV350" s="70"/>
      <c r="BW350" s="70"/>
      <c r="BX350" s="136"/>
      <c r="BY350" s="70"/>
      <c r="BZ350" s="67"/>
      <c r="CA350" s="67"/>
      <c r="CB350" s="67"/>
    </row>
    <row r="351" spans="1:80" s="28" customFormat="1" ht="16" customHeight="1">
      <c r="A351" s="39"/>
      <c r="B351" s="57"/>
      <c r="C351" s="67"/>
      <c r="D351" s="67"/>
      <c r="E351" s="39"/>
      <c r="F351" s="39"/>
      <c r="G351" s="39"/>
      <c r="H351" s="67"/>
      <c r="I351" s="60"/>
      <c r="J351" s="60"/>
      <c r="K351" s="60"/>
      <c r="L351" s="60"/>
      <c r="M351" s="60"/>
      <c r="N351" s="60"/>
      <c r="O351" s="60"/>
      <c r="P351" s="60"/>
      <c r="Q351" s="60"/>
      <c r="R351" s="60"/>
      <c r="S351" s="70"/>
      <c r="T351" s="70"/>
      <c r="U351" s="70"/>
      <c r="V351" s="70"/>
      <c r="W351" s="70"/>
      <c r="X351" s="70"/>
      <c r="Y351" s="70"/>
      <c r="Z351" s="70"/>
      <c r="AA351" s="70"/>
      <c r="AB351" s="70"/>
      <c r="AC351" s="70"/>
      <c r="AD351" s="136"/>
      <c r="AE351" s="24"/>
      <c r="AF351" s="24"/>
      <c r="AG351" s="73"/>
      <c r="AH351" s="125"/>
      <c r="AI351" s="103"/>
      <c r="AK351" s="113"/>
      <c r="AL351" s="113"/>
      <c r="AM351" s="113"/>
      <c r="AN351" s="113"/>
      <c r="AO351" s="137"/>
      <c r="AP351" s="137"/>
      <c r="AQ351" s="137"/>
      <c r="AR351" s="137"/>
      <c r="AS351" s="137"/>
      <c r="AT351" s="137"/>
      <c r="AU351" s="67"/>
      <c r="AV351" s="44"/>
      <c r="AW351" s="67"/>
      <c r="AX351" s="75"/>
      <c r="AY351" s="123"/>
      <c r="AZ351" s="67"/>
      <c r="BA351" s="138"/>
      <c r="BB351" s="67"/>
      <c r="BC351" s="67"/>
      <c r="BD351" s="67"/>
      <c r="BE351" s="67"/>
      <c r="BF351" s="67"/>
      <c r="BG351" s="67"/>
      <c r="BH351" s="67"/>
      <c r="BI351" s="67"/>
      <c r="BJ351" s="67"/>
      <c r="BK351" s="67"/>
      <c r="BL351" s="67"/>
      <c r="BM351" s="70"/>
      <c r="BN351" s="70"/>
      <c r="BO351" s="70"/>
      <c r="BP351" s="70"/>
      <c r="BQ351" s="70"/>
      <c r="BR351" s="70"/>
      <c r="BS351" s="70"/>
      <c r="BT351" s="70"/>
      <c r="BU351" s="70"/>
      <c r="BV351" s="70"/>
      <c r="BW351" s="70"/>
      <c r="BX351" s="136"/>
      <c r="BY351" s="70"/>
      <c r="BZ351" s="67"/>
      <c r="CA351" s="67"/>
      <c r="CB351" s="67"/>
    </row>
    <row r="352" spans="1:80" s="28" customFormat="1" ht="16" customHeight="1">
      <c r="A352" s="39"/>
      <c r="B352" s="57"/>
      <c r="C352" s="67"/>
      <c r="D352" s="67"/>
      <c r="E352" s="39"/>
      <c r="F352" s="39"/>
      <c r="G352" s="39"/>
      <c r="H352" s="67"/>
      <c r="I352" s="60"/>
      <c r="J352" s="60"/>
      <c r="K352" s="60"/>
      <c r="L352" s="60"/>
      <c r="M352" s="60"/>
      <c r="N352" s="60"/>
      <c r="O352" s="60"/>
      <c r="P352" s="60"/>
      <c r="Q352" s="60"/>
      <c r="R352" s="60"/>
      <c r="S352" s="70"/>
      <c r="T352" s="70"/>
      <c r="U352" s="70"/>
      <c r="V352" s="70"/>
      <c r="W352" s="70"/>
      <c r="X352" s="70"/>
      <c r="Y352" s="70"/>
      <c r="Z352" s="70"/>
      <c r="AA352" s="70"/>
      <c r="AB352" s="70"/>
      <c r="AC352" s="70"/>
      <c r="AD352" s="136"/>
      <c r="AE352" s="24"/>
      <c r="AF352" s="24"/>
      <c r="AG352" s="73"/>
      <c r="AH352" s="125"/>
      <c r="AI352" s="103"/>
      <c r="AK352" s="113"/>
      <c r="AL352" s="113"/>
      <c r="AM352" s="113"/>
      <c r="AN352" s="113"/>
      <c r="AO352" s="137"/>
      <c r="AP352" s="137"/>
      <c r="AQ352" s="137"/>
      <c r="AR352" s="137"/>
      <c r="AS352" s="137"/>
      <c r="AT352" s="137"/>
      <c r="AU352" s="67"/>
      <c r="AV352" s="44"/>
      <c r="AW352" s="67"/>
      <c r="AX352" s="75"/>
      <c r="AY352" s="123"/>
      <c r="AZ352" s="67"/>
      <c r="BA352" s="138"/>
      <c r="BB352" s="67"/>
      <c r="BC352" s="67"/>
      <c r="BD352" s="67"/>
      <c r="BE352" s="67"/>
      <c r="BF352" s="67"/>
      <c r="BG352" s="67"/>
      <c r="BH352" s="67"/>
      <c r="BI352" s="67"/>
      <c r="BJ352" s="67"/>
      <c r="BK352" s="67"/>
      <c r="BL352" s="67"/>
      <c r="BM352" s="70"/>
      <c r="BN352" s="70"/>
      <c r="BO352" s="70"/>
      <c r="BP352" s="70"/>
      <c r="BQ352" s="70"/>
      <c r="BR352" s="70"/>
      <c r="BS352" s="70"/>
      <c r="BT352" s="70"/>
      <c r="BU352" s="70"/>
      <c r="BV352" s="70"/>
      <c r="BW352" s="70"/>
      <c r="BX352" s="136"/>
      <c r="BY352" s="70"/>
      <c r="BZ352" s="67"/>
      <c r="CA352" s="67"/>
      <c r="CB352" s="67"/>
    </row>
    <row r="353" spans="1:80" s="28" customFormat="1" ht="16" customHeight="1">
      <c r="A353" s="39"/>
      <c r="B353" s="57"/>
      <c r="C353" s="67"/>
      <c r="D353" s="67"/>
      <c r="E353" s="39"/>
      <c r="F353" s="39"/>
      <c r="G353" s="39"/>
      <c r="H353" s="67"/>
      <c r="I353" s="60"/>
      <c r="J353" s="60"/>
      <c r="K353" s="60"/>
      <c r="L353" s="60"/>
      <c r="M353" s="60"/>
      <c r="N353" s="60"/>
      <c r="O353" s="60"/>
      <c r="P353" s="60"/>
      <c r="Q353" s="60"/>
      <c r="R353" s="60"/>
      <c r="S353" s="70"/>
      <c r="T353" s="70"/>
      <c r="U353" s="70"/>
      <c r="V353" s="70"/>
      <c r="W353" s="70"/>
      <c r="X353" s="70"/>
      <c r="Y353" s="70"/>
      <c r="Z353" s="70"/>
      <c r="AA353" s="70"/>
      <c r="AB353" s="70"/>
      <c r="AC353" s="70"/>
      <c r="AD353" s="136"/>
      <c r="AE353" s="24"/>
      <c r="AF353" s="24"/>
      <c r="AG353" s="73"/>
      <c r="AH353" s="125"/>
      <c r="AI353" s="103"/>
      <c r="AK353" s="113"/>
      <c r="AL353" s="113"/>
      <c r="AM353" s="113"/>
      <c r="AN353" s="113"/>
      <c r="AO353" s="137"/>
      <c r="AP353" s="137"/>
      <c r="AQ353" s="137"/>
      <c r="AR353" s="137"/>
      <c r="AS353" s="137"/>
      <c r="AT353" s="137"/>
      <c r="AU353" s="67"/>
      <c r="AV353" s="44"/>
      <c r="AW353" s="67"/>
      <c r="AX353" s="75"/>
      <c r="AY353" s="123"/>
      <c r="AZ353" s="67"/>
      <c r="BA353" s="138"/>
      <c r="BB353" s="67"/>
      <c r="BC353" s="67"/>
      <c r="BD353" s="67"/>
      <c r="BE353" s="67"/>
      <c r="BF353" s="67"/>
      <c r="BG353" s="67"/>
      <c r="BH353" s="67"/>
      <c r="BI353" s="67"/>
      <c r="BJ353" s="67"/>
      <c r="BK353" s="67"/>
      <c r="BL353" s="67"/>
      <c r="BM353" s="70"/>
      <c r="BN353" s="70"/>
      <c r="BO353" s="70"/>
      <c r="BP353" s="70"/>
      <c r="BQ353" s="70"/>
      <c r="BR353" s="70"/>
      <c r="BS353" s="70"/>
      <c r="BT353" s="70"/>
      <c r="BU353" s="70"/>
      <c r="BV353" s="70"/>
      <c r="BW353" s="70"/>
      <c r="BX353" s="136"/>
      <c r="BY353" s="70"/>
      <c r="BZ353" s="67"/>
      <c r="CA353" s="67"/>
      <c r="CB353" s="67"/>
    </row>
    <row r="354" spans="1:80" s="28" customFormat="1" ht="16" customHeight="1">
      <c r="A354" s="39"/>
      <c r="B354" s="57"/>
      <c r="C354" s="67"/>
      <c r="D354" s="67"/>
      <c r="E354" s="39"/>
      <c r="F354" s="39"/>
      <c r="G354" s="39"/>
      <c r="H354" s="67"/>
      <c r="I354" s="60"/>
      <c r="J354" s="60"/>
      <c r="K354" s="60"/>
      <c r="L354" s="60"/>
      <c r="M354" s="60"/>
      <c r="N354" s="60"/>
      <c r="O354" s="60"/>
      <c r="P354" s="60"/>
      <c r="Q354" s="60"/>
      <c r="R354" s="60"/>
      <c r="S354" s="70"/>
      <c r="T354" s="70"/>
      <c r="U354" s="70"/>
      <c r="V354" s="70"/>
      <c r="W354" s="70"/>
      <c r="X354" s="70"/>
      <c r="Y354" s="70"/>
      <c r="Z354" s="70"/>
      <c r="AA354" s="70"/>
      <c r="AB354" s="70"/>
      <c r="AC354" s="70"/>
      <c r="AD354" s="136"/>
      <c r="AE354" s="24"/>
      <c r="AF354" s="24"/>
      <c r="AG354" s="73"/>
      <c r="AH354" s="125"/>
      <c r="AI354" s="103"/>
      <c r="AK354" s="113"/>
      <c r="AL354" s="113"/>
      <c r="AM354" s="113"/>
      <c r="AN354" s="113"/>
      <c r="AO354" s="137"/>
      <c r="AP354" s="137"/>
      <c r="AQ354" s="137"/>
      <c r="AR354" s="137"/>
      <c r="AS354" s="137"/>
      <c r="AT354" s="137"/>
      <c r="AU354" s="67"/>
      <c r="AV354" s="44"/>
      <c r="AW354" s="67"/>
      <c r="AX354" s="75"/>
      <c r="AY354" s="123"/>
      <c r="AZ354" s="67"/>
      <c r="BA354" s="138"/>
      <c r="BB354" s="67"/>
      <c r="BC354" s="67"/>
      <c r="BD354" s="67"/>
      <c r="BE354" s="67"/>
      <c r="BF354" s="67"/>
      <c r="BG354" s="67"/>
      <c r="BH354" s="67"/>
      <c r="BI354" s="67"/>
      <c r="BJ354" s="67"/>
      <c r="BK354" s="67"/>
      <c r="BL354" s="67"/>
      <c r="BM354" s="70"/>
      <c r="BN354" s="70"/>
      <c r="BO354" s="70"/>
      <c r="BP354" s="70"/>
      <c r="BQ354" s="70"/>
      <c r="BR354" s="70"/>
      <c r="BS354" s="70"/>
      <c r="BT354" s="70"/>
      <c r="BU354" s="70"/>
      <c r="BV354" s="70"/>
      <c r="BW354" s="70"/>
      <c r="BX354" s="136"/>
      <c r="BY354" s="70"/>
      <c r="BZ354" s="67"/>
      <c r="CA354" s="67"/>
      <c r="CB354" s="67"/>
    </row>
    <row r="355" spans="1:80" s="28" customFormat="1" ht="16" customHeight="1">
      <c r="A355" s="39"/>
      <c r="B355" s="57"/>
      <c r="C355" s="67"/>
      <c r="D355" s="67"/>
      <c r="E355" s="39"/>
      <c r="F355" s="39"/>
      <c r="G355" s="39"/>
      <c r="H355" s="67"/>
      <c r="I355" s="60"/>
      <c r="J355" s="60"/>
      <c r="K355" s="60"/>
      <c r="L355" s="60"/>
      <c r="M355" s="60"/>
      <c r="N355" s="60"/>
      <c r="O355" s="60"/>
      <c r="P355" s="60"/>
      <c r="Q355" s="60"/>
      <c r="R355" s="60"/>
      <c r="S355" s="70"/>
      <c r="T355" s="70"/>
      <c r="U355" s="70"/>
      <c r="V355" s="70"/>
      <c r="W355" s="70"/>
      <c r="X355" s="70"/>
      <c r="Y355" s="70"/>
      <c r="Z355" s="70"/>
      <c r="AA355" s="70"/>
      <c r="AB355" s="70"/>
      <c r="AC355" s="70"/>
      <c r="AD355" s="136"/>
      <c r="AE355" s="24"/>
      <c r="AF355" s="24"/>
      <c r="AG355" s="73"/>
      <c r="AH355" s="125"/>
      <c r="AI355" s="103"/>
      <c r="AK355" s="113"/>
      <c r="AL355" s="113"/>
      <c r="AM355" s="113"/>
      <c r="AN355" s="113"/>
      <c r="AO355" s="137"/>
      <c r="AP355" s="137"/>
      <c r="AQ355" s="137"/>
      <c r="AR355" s="137"/>
      <c r="AS355" s="137"/>
      <c r="AT355" s="137"/>
      <c r="AU355" s="67"/>
      <c r="AV355" s="44"/>
      <c r="AW355" s="67"/>
      <c r="AX355" s="75"/>
      <c r="AY355" s="123"/>
      <c r="AZ355" s="67"/>
      <c r="BA355" s="138"/>
      <c r="BB355" s="67"/>
      <c r="BC355" s="67"/>
      <c r="BD355" s="67"/>
      <c r="BE355" s="67"/>
      <c r="BF355" s="67"/>
      <c r="BG355" s="67"/>
      <c r="BH355" s="67"/>
      <c r="BI355" s="67"/>
      <c r="BJ355" s="67"/>
      <c r="BK355" s="67"/>
      <c r="BL355" s="67"/>
      <c r="BM355" s="70"/>
      <c r="BN355" s="70"/>
      <c r="BO355" s="70"/>
      <c r="BP355" s="70"/>
      <c r="BQ355" s="70"/>
      <c r="BR355" s="70"/>
      <c r="BS355" s="70"/>
      <c r="BT355" s="70"/>
      <c r="BU355" s="70"/>
      <c r="BV355" s="70"/>
      <c r="BW355" s="70"/>
      <c r="BX355" s="136"/>
      <c r="BY355" s="70"/>
      <c r="BZ355" s="67"/>
      <c r="CA355" s="67"/>
      <c r="CB355" s="67"/>
    </row>
    <row r="356" spans="1:80" s="28" customFormat="1" ht="16" customHeight="1">
      <c r="A356" s="39"/>
      <c r="B356" s="57"/>
      <c r="C356" s="67"/>
      <c r="D356" s="67"/>
      <c r="E356" s="39"/>
      <c r="F356" s="39"/>
      <c r="G356" s="39"/>
      <c r="H356" s="67"/>
      <c r="I356" s="60"/>
      <c r="J356" s="60"/>
      <c r="K356" s="60"/>
      <c r="L356" s="60"/>
      <c r="M356" s="60"/>
      <c r="N356" s="60"/>
      <c r="O356" s="60"/>
      <c r="P356" s="60"/>
      <c r="Q356" s="60"/>
      <c r="R356" s="60"/>
      <c r="S356" s="70"/>
      <c r="T356" s="70"/>
      <c r="U356" s="70"/>
      <c r="V356" s="70"/>
      <c r="W356" s="70"/>
      <c r="X356" s="70"/>
      <c r="Y356" s="70"/>
      <c r="Z356" s="70"/>
      <c r="AA356" s="70"/>
      <c r="AB356" s="70"/>
      <c r="AC356" s="70"/>
      <c r="AD356" s="136"/>
      <c r="AE356" s="24"/>
      <c r="AF356" s="24"/>
      <c r="AG356" s="73"/>
      <c r="AH356" s="125"/>
      <c r="AI356" s="103"/>
      <c r="AK356" s="113"/>
      <c r="AL356" s="113"/>
      <c r="AM356" s="113"/>
      <c r="AN356" s="113"/>
      <c r="AO356" s="137"/>
      <c r="AP356" s="137"/>
      <c r="AQ356" s="137"/>
      <c r="AR356" s="137"/>
      <c r="AS356" s="137"/>
      <c r="AT356" s="137"/>
      <c r="AU356" s="67"/>
      <c r="AV356" s="44"/>
      <c r="AW356" s="67"/>
      <c r="AX356" s="75"/>
      <c r="AY356" s="123"/>
      <c r="AZ356" s="67"/>
      <c r="BA356" s="138"/>
      <c r="BB356" s="67"/>
      <c r="BC356" s="67"/>
      <c r="BD356" s="67"/>
      <c r="BE356" s="67"/>
      <c r="BF356" s="67"/>
      <c r="BG356" s="67"/>
      <c r="BH356" s="67"/>
      <c r="BI356" s="67"/>
      <c r="BJ356" s="67"/>
      <c r="BK356" s="67"/>
      <c r="BL356" s="67"/>
      <c r="BM356" s="70"/>
      <c r="BN356" s="70"/>
      <c r="BO356" s="70"/>
      <c r="BP356" s="70"/>
      <c r="BQ356" s="70"/>
      <c r="BR356" s="70"/>
      <c r="BS356" s="70"/>
      <c r="BT356" s="70"/>
      <c r="BU356" s="70"/>
      <c r="BV356" s="70"/>
      <c r="BW356" s="70"/>
      <c r="BX356" s="136"/>
      <c r="BY356" s="70"/>
      <c r="BZ356" s="67"/>
      <c r="CA356" s="67"/>
      <c r="CB356" s="67"/>
    </row>
    <row r="357" spans="1:80" s="28" customFormat="1" ht="16" customHeight="1">
      <c r="A357" s="39"/>
      <c r="B357" s="57"/>
      <c r="C357" s="67"/>
      <c r="D357" s="67"/>
      <c r="E357" s="39"/>
      <c r="F357" s="39"/>
      <c r="G357" s="39"/>
      <c r="H357" s="67"/>
      <c r="I357" s="60"/>
      <c r="J357" s="60"/>
      <c r="K357" s="60"/>
      <c r="L357" s="60"/>
      <c r="M357" s="60"/>
      <c r="N357" s="60"/>
      <c r="O357" s="60"/>
      <c r="P357" s="60"/>
      <c r="Q357" s="60"/>
      <c r="R357" s="60"/>
      <c r="S357" s="70"/>
      <c r="T357" s="70"/>
      <c r="U357" s="70"/>
      <c r="V357" s="70"/>
      <c r="W357" s="70"/>
      <c r="X357" s="70"/>
      <c r="Y357" s="70"/>
      <c r="Z357" s="70"/>
      <c r="AA357" s="70"/>
      <c r="AB357" s="70"/>
      <c r="AC357" s="70"/>
      <c r="AD357" s="136"/>
      <c r="AE357" s="24"/>
      <c r="AF357" s="24"/>
      <c r="AG357" s="73"/>
      <c r="AH357" s="125"/>
      <c r="AI357" s="103"/>
      <c r="AK357" s="113"/>
      <c r="AL357" s="113"/>
      <c r="AM357" s="113"/>
      <c r="AN357" s="113"/>
      <c r="AO357" s="137"/>
      <c r="AP357" s="137"/>
      <c r="AQ357" s="137"/>
      <c r="AR357" s="137"/>
      <c r="AS357" s="137"/>
      <c r="AT357" s="137"/>
      <c r="AU357" s="67"/>
      <c r="AV357" s="44"/>
      <c r="AW357" s="67"/>
      <c r="AX357" s="75"/>
      <c r="AY357" s="123"/>
      <c r="AZ357" s="67"/>
      <c r="BA357" s="138"/>
      <c r="BB357" s="67"/>
      <c r="BC357" s="67"/>
      <c r="BD357" s="67"/>
      <c r="BE357" s="67"/>
      <c r="BF357" s="67"/>
      <c r="BG357" s="67"/>
      <c r="BH357" s="67"/>
      <c r="BI357" s="67"/>
      <c r="BJ357" s="67"/>
      <c r="BK357" s="67"/>
      <c r="BL357" s="67"/>
      <c r="BM357" s="70"/>
      <c r="BN357" s="70"/>
      <c r="BO357" s="70"/>
      <c r="BP357" s="70"/>
      <c r="BQ357" s="70"/>
      <c r="BR357" s="70"/>
      <c r="BS357" s="70"/>
      <c r="BT357" s="70"/>
      <c r="BU357" s="70"/>
      <c r="BV357" s="70"/>
      <c r="BW357" s="70"/>
      <c r="BX357" s="136"/>
      <c r="BY357" s="70"/>
      <c r="BZ357" s="67"/>
      <c r="CA357" s="67"/>
      <c r="CB357" s="67"/>
    </row>
    <row r="358" spans="1:80" s="28" customFormat="1" ht="16" customHeight="1">
      <c r="A358" s="39"/>
      <c r="B358" s="57"/>
      <c r="C358" s="67"/>
      <c r="D358" s="67"/>
      <c r="E358" s="39"/>
      <c r="F358" s="39"/>
      <c r="G358" s="39"/>
      <c r="H358" s="67"/>
      <c r="I358" s="60"/>
      <c r="J358" s="60"/>
      <c r="K358" s="60"/>
      <c r="L358" s="60"/>
      <c r="M358" s="60"/>
      <c r="N358" s="60"/>
      <c r="O358" s="60"/>
      <c r="P358" s="60"/>
      <c r="Q358" s="60"/>
      <c r="R358" s="60"/>
      <c r="S358" s="70"/>
      <c r="T358" s="70"/>
      <c r="U358" s="70"/>
      <c r="V358" s="70"/>
      <c r="W358" s="70"/>
      <c r="X358" s="70"/>
      <c r="Y358" s="70"/>
      <c r="Z358" s="70"/>
      <c r="AA358" s="70"/>
      <c r="AB358" s="70"/>
      <c r="AC358" s="70"/>
      <c r="AD358" s="136"/>
      <c r="AE358" s="24"/>
      <c r="AF358" s="24"/>
      <c r="AG358" s="73"/>
      <c r="AH358" s="125"/>
      <c r="AI358" s="103"/>
      <c r="AK358" s="113"/>
      <c r="AL358" s="113"/>
      <c r="AM358" s="113"/>
      <c r="AN358" s="113"/>
      <c r="AO358" s="137"/>
      <c r="AP358" s="137"/>
      <c r="AQ358" s="137"/>
      <c r="AR358" s="137"/>
      <c r="AS358" s="137"/>
      <c r="AT358" s="137"/>
      <c r="AU358" s="67"/>
      <c r="AV358" s="44"/>
      <c r="AW358" s="67"/>
      <c r="AX358" s="75"/>
      <c r="AY358" s="123"/>
      <c r="AZ358" s="67"/>
      <c r="BA358" s="138"/>
      <c r="BB358" s="67"/>
      <c r="BC358" s="67"/>
      <c r="BD358" s="67"/>
      <c r="BE358" s="67"/>
      <c r="BF358" s="67"/>
      <c r="BG358" s="67"/>
      <c r="BH358" s="67"/>
      <c r="BI358" s="67"/>
      <c r="BJ358" s="67"/>
      <c r="BK358" s="67"/>
      <c r="BL358" s="67"/>
      <c r="BM358" s="70"/>
      <c r="BN358" s="70"/>
      <c r="BO358" s="70"/>
      <c r="BP358" s="70"/>
      <c r="BQ358" s="70"/>
      <c r="BR358" s="70"/>
      <c r="BS358" s="70"/>
      <c r="BT358" s="70"/>
      <c r="BU358" s="70"/>
      <c r="BV358" s="70"/>
      <c r="BW358" s="70"/>
      <c r="BX358" s="136"/>
      <c r="BY358" s="70"/>
      <c r="BZ358" s="67"/>
      <c r="CA358" s="67"/>
      <c r="CB358" s="67"/>
    </row>
    <row r="359" spans="1:80" s="28" customFormat="1" ht="16" customHeight="1">
      <c r="A359" s="39"/>
      <c r="B359" s="57"/>
      <c r="C359" s="67"/>
      <c r="D359" s="67"/>
      <c r="E359" s="39"/>
      <c r="F359" s="39"/>
      <c r="G359" s="39"/>
      <c r="H359" s="67"/>
      <c r="I359" s="60"/>
      <c r="J359" s="60"/>
      <c r="K359" s="60"/>
      <c r="L359" s="60"/>
      <c r="M359" s="60"/>
      <c r="N359" s="60"/>
      <c r="O359" s="60"/>
      <c r="P359" s="60"/>
      <c r="Q359" s="60"/>
      <c r="R359" s="60"/>
      <c r="S359" s="70"/>
      <c r="T359" s="70"/>
      <c r="U359" s="70"/>
      <c r="V359" s="70"/>
      <c r="W359" s="70"/>
      <c r="X359" s="70"/>
      <c r="Y359" s="70"/>
      <c r="Z359" s="70"/>
      <c r="AA359" s="70"/>
      <c r="AB359" s="70"/>
      <c r="AC359" s="70"/>
      <c r="AD359" s="136"/>
      <c r="AE359" s="24"/>
      <c r="AF359" s="24"/>
      <c r="AG359" s="73"/>
      <c r="AH359" s="125"/>
      <c r="AI359" s="103"/>
      <c r="AK359" s="113"/>
      <c r="AL359" s="113"/>
      <c r="AM359" s="113"/>
      <c r="AN359" s="113"/>
      <c r="AO359" s="137"/>
      <c r="AP359" s="137"/>
      <c r="AQ359" s="137"/>
      <c r="AR359" s="137"/>
      <c r="AS359" s="137"/>
      <c r="AT359" s="137"/>
      <c r="AU359" s="67"/>
      <c r="AV359" s="44"/>
      <c r="AW359" s="67"/>
      <c r="AX359" s="75"/>
      <c r="AY359" s="123"/>
      <c r="AZ359" s="67"/>
      <c r="BA359" s="138"/>
      <c r="BB359" s="67"/>
      <c r="BC359" s="67"/>
      <c r="BD359" s="67"/>
      <c r="BE359" s="67"/>
      <c r="BF359" s="67"/>
      <c r="BG359" s="67"/>
      <c r="BH359" s="67"/>
      <c r="BI359" s="67"/>
      <c r="BJ359" s="67"/>
      <c r="BK359" s="67"/>
      <c r="BL359" s="67"/>
      <c r="BM359" s="70"/>
      <c r="BN359" s="70"/>
      <c r="BO359" s="70"/>
      <c r="BP359" s="70"/>
      <c r="BQ359" s="70"/>
      <c r="BR359" s="70"/>
      <c r="BS359" s="70"/>
      <c r="BT359" s="70"/>
      <c r="BU359" s="70"/>
      <c r="BV359" s="70"/>
      <c r="BW359" s="70"/>
      <c r="BX359" s="136"/>
      <c r="BY359" s="70"/>
      <c r="BZ359" s="67"/>
      <c r="CA359" s="67"/>
      <c r="CB359" s="67"/>
    </row>
    <row r="360" spans="1:80" s="28" customFormat="1" ht="16" customHeight="1">
      <c r="A360" s="39"/>
      <c r="B360" s="57"/>
      <c r="C360" s="67"/>
      <c r="D360" s="67"/>
      <c r="E360" s="39"/>
      <c r="F360" s="39"/>
      <c r="G360" s="39"/>
      <c r="H360" s="67"/>
      <c r="I360" s="60"/>
      <c r="J360" s="60"/>
      <c r="K360" s="60"/>
      <c r="L360" s="60"/>
      <c r="M360" s="60"/>
      <c r="N360" s="60"/>
      <c r="O360" s="60"/>
      <c r="P360" s="60"/>
      <c r="Q360" s="60"/>
      <c r="R360" s="60"/>
      <c r="S360" s="70"/>
      <c r="T360" s="70"/>
      <c r="U360" s="70"/>
      <c r="V360" s="70"/>
      <c r="W360" s="70"/>
      <c r="X360" s="70"/>
      <c r="Y360" s="70"/>
      <c r="Z360" s="70"/>
      <c r="AA360" s="70"/>
      <c r="AB360" s="70"/>
      <c r="AC360" s="70"/>
      <c r="AD360" s="136"/>
      <c r="AE360" s="24"/>
      <c r="AF360" s="24"/>
      <c r="AG360" s="73"/>
      <c r="AH360" s="125"/>
      <c r="AI360" s="103"/>
      <c r="AK360" s="113"/>
      <c r="AL360" s="113"/>
      <c r="AM360" s="113"/>
      <c r="AN360" s="113"/>
      <c r="AO360" s="137"/>
      <c r="AP360" s="137"/>
      <c r="AQ360" s="137"/>
      <c r="AR360" s="137"/>
      <c r="AS360" s="137"/>
      <c r="AT360" s="137"/>
      <c r="AU360" s="67"/>
      <c r="AV360" s="44"/>
      <c r="AW360" s="67"/>
      <c r="AX360" s="75"/>
      <c r="AY360" s="123"/>
      <c r="AZ360" s="67"/>
      <c r="BA360" s="138"/>
      <c r="BB360" s="67"/>
      <c r="BC360" s="67"/>
      <c r="BD360" s="67"/>
      <c r="BE360" s="67"/>
      <c r="BF360" s="67"/>
      <c r="BG360" s="67"/>
      <c r="BH360" s="67"/>
      <c r="BI360" s="67"/>
      <c r="BJ360" s="67"/>
      <c r="BK360" s="67"/>
      <c r="BL360" s="67"/>
      <c r="BM360" s="70"/>
      <c r="BN360" s="70"/>
      <c r="BO360" s="70"/>
      <c r="BP360" s="70"/>
      <c r="BQ360" s="70"/>
      <c r="BR360" s="70"/>
      <c r="BS360" s="70"/>
      <c r="BT360" s="70"/>
      <c r="BU360" s="70"/>
      <c r="BV360" s="70"/>
      <c r="BW360" s="70"/>
      <c r="BX360" s="136"/>
      <c r="BY360" s="70"/>
      <c r="BZ360" s="67"/>
      <c r="CA360" s="67"/>
      <c r="CB360" s="67"/>
    </row>
    <row r="361" spans="1:80" s="28" customFormat="1" ht="16" customHeight="1">
      <c r="A361" s="39"/>
      <c r="B361" s="57"/>
      <c r="C361" s="67"/>
      <c r="D361" s="67"/>
      <c r="E361" s="39"/>
      <c r="F361" s="39"/>
      <c r="G361" s="39"/>
      <c r="H361" s="67"/>
      <c r="I361" s="60"/>
      <c r="J361" s="60"/>
      <c r="K361" s="60"/>
      <c r="L361" s="60"/>
      <c r="M361" s="60"/>
      <c r="N361" s="60"/>
      <c r="O361" s="60"/>
      <c r="P361" s="60"/>
      <c r="Q361" s="60"/>
      <c r="R361" s="60"/>
      <c r="S361" s="70"/>
      <c r="T361" s="70"/>
      <c r="U361" s="70"/>
      <c r="V361" s="70"/>
      <c r="W361" s="70"/>
      <c r="X361" s="70"/>
      <c r="Y361" s="70"/>
      <c r="Z361" s="70"/>
      <c r="AA361" s="70"/>
      <c r="AB361" s="70"/>
      <c r="AC361" s="70"/>
      <c r="AD361" s="136"/>
      <c r="AE361" s="24"/>
      <c r="AF361" s="24"/>
      <c r="AG361" s="73"/>
      <c r="AH361" s="125"/>
      <c r="AI361" s="103"/>
      <c r="AK361" s="113"/>
      <c r="AL361" s="113"/>
      <c r="AM361" s="113"/>
      <c r="AN361" s="113"/>
      <c r="AO361" s="137"/>
      <c r="AP361" s="137"/>
      <c r="AQ361" s="137"/>
      <c r="AR361" s="137"/>
      <c r="AS361" s="137"/>
      <c r="AT361" s="137"/>
      <c r="AU361" s="67"/>
      <c r="AV361" s="44"/>
      <c r="AW361" s="67"/>
      <c r="AX361" s="75"/>
      <c r="AY361" s="123"/>
      <c r="AZ361" s="67"/>
      <c r="BA361" s="138"/>
      <c r="BB361" s="67"/>
      <c r="BC361" s="67"/>
      <c r="BD361" s="67"/>
      <c r="BE361" s="67"/>
      <c r="BF361" s="67"/>
      <c r="BG361" s="67"/>
      <c r="BH361" s="67"/>
      <c r="BI361" s="67"/>
      <c r="BJ361" s="67"/>
      <c r="BK361" s="67"/>
      <c r="BL361" s="67"/>
      <c r="BM361" s="70"/>
      <c r="BN361" s="70"/>
      <c r="BO361" s="70"/>
      <c r="BP361" s="70"/>
      <c r="BQ361" s="70"/>
      <c r="BR361" s="70"/>
      <c r="BS361" s="70"/>
      <c r="BT361" s="70"/>
      <c r="BU361" s="70"/>
      <c r="BV361" s="70"/>
      <c r="BW361" s="70"/>
      <c r="BX361" s="136"/>
      <c r="BY361" s="70"/>
      <c r="BZ361" s="67"/>
      <c r="CA361" s="67"/>
      <c r="CB361" s="67"/>
    </row>
    <row r="362" spans="1:80" s="28" customFormat="1" ht="16" customHeight="1">
      <c r="A362" s="39"/>
      <c r="B362" s="57"/>
      <c r="C362" s="67"/>
      <c r="D362" s="67"/>
      <c r="E362" s="39"/>
      <c r="F362" s="39"/>
      <c r="G362" s="39"/>
      <c r="H362" s="67"/>
      <c r="I362" s="60"/>
      <c r="J362" s="60"/>
      <c r="K362" s="60"/>
      <c r="L362" s="60"/>
      <c r="M362" s="60"/>
      <c r="N362" s="60"/>
      <c r="O362" s="60"/>
      <c r="P362" s="60"/>
      <c r="Q362" s="60"/>
      <c r="R362" s="60"/>
      <c r="S362" s="70"/>
      <c r="T362" s="70"/>
      <c r="U362" s="70"/>
      <c r="V362" s="70"/>
      <c r="W362" s="70"/>
      <c r="X362" s="70"/>
      <c r="Y362" s="70"/>
      <c r="Z362" s="70"/>
      <c r="AA362" s="70"/>
      <c r="AB362" s="70"/>
      <c r="AC362" s="70"/>
      <c r="AD362" s="136"/>
      <c r="AE362" s="24"/>
      <c r="AF362" s="24"/>
      <c r="AG362" s="73"/>
      <c r="AH362" s="125"/>
      <c r="AI362" s="103"/>
      <c r="AK362" s="113"/>
      <c r="AL362" s="113"/>
      <c r="AM362" s="113"/>
      <c r="AN362" s="113"/>
      <c r="AO362" s="137"/>
      <c r="AP362" s="137"/>
      <c r="AQ362" s="137"/>
      <c r="AR362" s="137"/>
      <c r="AS362" s="137"/>
      <c r="AT362" s="137"/>
      <c r="AU362" s="67"/>
      <c r="AV362" s="44"/>
      <c r="AW362" s="67"/>
      <c r="AX362" s="75"/>
      <c r="AY362" s="123"/>
      <c r="AZ362" s="67"/>
      <c r="BA362" s="138"/>
      <c r="BB362" s="67"/>
      <c r="BC362" s="67"/>
      <c r="BD362" s="67"/>
      <c r="BE362" s="67"/>
      <c r="BF362" s="67"/>
      <c r="BG362" s="67"/>
      <c r="BH362" s="67"/>
      <c r="BI362" s="67"/>
      <c r="BJ362" s="67"/>
      <c r="BK362" s="67"/>
      <c r="BL362" s="67"/>
      <c r="BM362" s="70"/>
      <c r="BN362" s="70"/>
      <c r="BO362" s="70"/>
      <c r="BP362" s="70"/>
      <c r="BQ362" s="70"/>
      <c r="BR362" s="70"/>
      <c r="BS362" s="70"/>
      <c r="BT362" s="70"/>
      <c r="BU362" s="70"/>
      <c r="BV362" s="70"/>
      <c r="BW362" s="70"/>
      <c r="BX362" s="136"/>
      <c r="BY362" s="70"/>
      <c r="BZ362" s="67"/>
      <c r="CA362" s="67"/>
      <c r="CB362" s="67"/>
    </row>
    <row r="363" spans="1:80" s="28" customFormat="1" ht="16" customHeight="1">
      <c r="A363" s="39"/>
      <c r="B363" s="57"/>
      <c r="C363" s="67"/>
      <c r="D363" s="67"/>
      <c r="E363" s="39"/>
      <c r="F363" s="39"/>
      <c r="G363" s="39"/>
      <c r="H363" s="67"/>
      <c r="I363" s="60"/>
      <c r="J363" s="60"/>
      <c r="K363" s="60"/>
      <c r="L363" s="60"/>
      <c r="M363" s="60"/>
      <c r="N363" s="60"/>
      <c r="O363" s="60"/>
      <c r="P363" s="60"/>
      <c r="Q363" s="60"/>
      <c r="R363" s="60"/>
      <c r="S363" s="70"/>
      <c r="T363" s="70"/>
      <c r="U363" s="70"/>
      <c r="V363" s="70"/>
      <c r="W363" s="70"/>
      <c r="X363" s="70"/>
      <c r="Y363" s="70"/>
      <c r="Z363" s="70"/>
      <c r="AA363" s="70"/>
      <c r="AB363" s="70"/>
      <c r="AC363" s="70"/>
      <c r="AD363" s="136"/>
      <c r="AE363" s="24"/>
      <c r="AF363" s="24"/>
      <c r="AG363" s="73"/>
      <c r="AH363" s="125"/>
      <c r="AI363" s="103"/>
      <c r="AK363" s="113"/>
      <c r="AL363" s="113"/>
      <c r="AM363" s="113"/>
      <c r="AN363" s="113"/>
      <c r="AO363" s="137"/>
      <c r="AP363" s="137"/>
      <c r="AQ363" s="137"/>
      <c r="AR363" s="137"/>
      <c r="AS363" s="137"/>
      <c r="AT363" s="137"/>
      <c r="AU363" s="67"/>
      <c r="AV363" s="44"/>
      <c r="AW363" s="67"/>
      <c r="AX363" s="75"/>
      <c r="AY363" s="123"/>
      <c r="AZ363" s="67"/>
      <c r="BA363" s="138"/>
      <c r="BB363" s="67"/>
      <c r="BC363" s="67"/>
      <c r="BD363" s="67"/>
      <c r="BE363" s="67"/>
      <c r="BF363" s="67"/>
      <c r="BG363" s="67"/>
      <c r="BH363" s="67"/>
      <c r="BI363" s="67"/>
      <c r="BJ363" s="67"/>
      <c r="BK363" s="67"/>
      <c r="BL363" s="67"/>
      <c r="BM363" s="70"/>
      <c r="BN363" s="70"/>
      <c r="BO363" s="70"/>
      <c r="BP363" s="70"/>
      <c r="BQ363" s="70"/>
      <c r="BR363" s="70"/>
      <c r="BS363" s="70"/>
      <c r="BT363" s="70"/>
      <c r="BU363" s="70"/>
      <c r="BV363" s="70"/>
      <c r="BW363" s="70"/>
      <c r="BX363" s="136"/>
      <c r="BY363" s="70"/>
      <c r="BZ363" s="67"/>
      <c r="CA363" s="67"/>
      <c r="CB363" s="67"/>
    </row>
    <row r="364" spans="1:80" s="28" customFormat="1" ht="16" customHeight="1">
      <c r="A364" s="39"/>
      <c r="B364" s="57"/>
      <c r="C364" s="67"/>
      <c r="D364" s="67"/>
      <c r="E364" s="39"/>
      <c r="F364" s="39"/>
      <c r="G364" s="39"/>
      <c r="H364" s="67"/>
      <c r="I364" s="60"/>
      <c r="J364" s="60"/>
      <c r="K364" s="60"/>
      <c r="L364" s="60"/>
      <c r="M364" s="60"/>
      <c r="N364" s="60"/>
      <c r="O364" s="60"/>
      <c r="P364" s="60"/>
      <c r="Q364" s="60"/>
      <c r="R364" s="60"/>
      <c r="S364" s="70"/>
      <c r="T364" s="70"/>
      <c r="U364" s="70"/>
      <c r="V364" s="70"/>
      <c r="W364" s="70"/>
      <c r="X364" s="70"/>
      <c r="Y364" s="70"/>
      <c r="Z364" s="70"/>
      <c r="AA364" s="70"/>
      <c r="AB364" s="70"/>
      <c r="AC364" s="70"/>
      <c r="AD364" s="136"/>
      <c r="AE364" s="24"/>
      <c r="AF364" s="24"/>
      <c r="AG364" s="73"/>
      <c r="AH364" s="125"/>
      <c r="AI364" s="103"/>
      <c r="AK364" s="113"/>
      <c r="AL364" s="113"/>
      <c r="AM364" s="113"/>
      <c r="AN364" s="113"/>
      <c r="AO364" s="137"/>
      <c r="AP364" s="137"/>
      <c r="AQ364" s="137"/>
      <c r="AR364" s="137"/>
      <c r="AS364" s="137"/>
      <c r="AT364" s="137"/>
      <c r="AU364" s="67"/>
      <c r="AV364" s="44"/>
      <c r="AW364" s="67"/>
      <c r="AX364" s="75"/>
      <c r="AY364" s="123"/>
      <c r="AZ364" s="67"/>
      <c r="BA364" s="138"/>
      <c r="BB364" s="67"/>
      <c r="BC364" s="67"/>
      <c r="BD364" s="67"/>
      <c r="BE364" s="67"/>
      <c r="BF364" s="67"/>
      <c r="BG364" s="67"/>
      <c r="BH364" s="67"/>
      <c r="BI364" s="67"/>
      <c r="BJ364" s="67"/>
      <c r="BK364" s="67"/>
      <c r="BL364" s="67"/>
      <c r="BM364" s="70"/>
      <c r="BN364" s="70"/>
      <c r="BO364" s="70"/>
      <c r="BP364" s="70"/>
      <c r="BQ364" s="70"/>
      <c r="BR364" s="70"/>
      <c r="BS364" s="70"/>
      <c r="BT364" s="70"/>
      <c r="BU364" s="70"/>
      <c r="BV364" s="70"/>
      <c r="BW364" s="70"/>
      <c r="BX364" s="136"/>
      <c r="BY364" s="70"/>
      <c r="BZ364" s="67"/>
      <c r="CA364" s="67"/>
      <c r="CB364" s="67"/>
    </row>
    <row r="365" spans="1:80" s="28" customFormat="1" ht="16" customHeight="1">
      <c r="A365" s="39"/>
      <c r="B365" s="57"/>
      <c r="C365" s="67"/>
      <c r="D365" s="67"/>
      <c r="E365" s="39"/>
      <c r="F365" s="39"/>
      <c r="G365" s="39"/>
      <c r="H365" s="67"/>
      <c r="I365" s="60"/>
      <c r="J365" s="60"/>
      <c r="K365" s="60"/>
      <c r="L365" s="60"/>
      <c r="M365" s="60"/>
      <c r="N365" s="60"/>
      <c r="O365" s="60"/>
      <c r="P365" s="60"/>
      <c r="Q365" s="60"/>
      <c r="R365" s="60"/>
      <c r="S365" s="70"/>
      <c r="T365" s="70"/>
      <c r="U365" s="70"/>
      <c r="V365" s="70"/>
      <c r="W365" s="70"/>
      <c r="X365" s="70"/>
      <c r="Y365" s="70"/>
      <c r="Z365" s="70"/>
      <c r="AA365" s="70"/>
      <c r="AB365" s="70"/>
      <c r="AC365" s="70"/>
      <c r="AD365" s="136"/>
      <c r="AE365" s="24"/>
      <c r="AF365" s="24"/>
      <c r="AG365" s="73"/>
      <c r="AH365" s="125"/>
      <c r="AI365" s="103"/>
      <c r="AK365" s="113"/>
      <c r="AL365" s="113"/>
      <c r="AM365" s="113"/>
      <c r="AN365" s="113"/>
      <c r="AO365" s="137"/>
      <c r="AP365" s="137"/>
      <c r="AQ365" s="137"/>
      <c r="AR365" s="137"/>
      <c r="AS365" s="137"/>
      <c r="AT365" s="137"/>
      <c r="AU365" s="67"/>
      <c r="AV365" s="44"/>
      <c r="AW365" s="67"/>
      <c r="AX365" s="75"/>
      <c r="AY365" s="123"/>
      <c r="AZ365" s="67"/>
      <c r="BA365" s="138"/>
      <c r="BB365" s="67"/>
      <c r="BC365" s="67"/>
      <c r="BD365" s="67"/>
      <c r="BE365" s="67"/>
      <c r="BF365" s="67"/>
      <c r="BG365" s="67"/>
      <c r="BH365" s="67"/>
      <c r="BI365" s="67"/>
      <c r="BJ365" s="67"/>
      <c r="BK365" s="67"/>
      <c r="BL365" s="67"/>
      <c r="BM365" s="70"/>
      <c r="BN365" s="70"/>
      <c r="BO365" s="70"/>
      <c r="BP365" s="70"/>
      <c r="BQ365" s="70"/>
      <c r="BR365" s="70"/>
      <c r="BS365" s="70"/>
      <c r="BT365" s="70"/>
      <c r="BU365" s="70"/>
      <c r="BV365" s="70"/>
      <c r="BW365" s="70"/>
      <c r="BX365" s="136"/>
      <c r="BY365" s="70"/>
      <c r="BZ365" s="67"/>
      <c r="CA365" s="67"/>
      <c r="CB365" s="67"/>
    </row>
    <row r="366" spans="1:80" s="28" customFormat="1" ht="16" customHeight="1">
      <c r="A366" s="39"/>
      <c r="B366" s="57"/>
      <c r="C366" s="67"/>
      <c r="D366" s="67"/>
      <c r="E366" s="39"/>
      <c r="F366" s="39"/>
      <c r="G366" s="39"/>
      <c r="H366" s="67"/>
      <c r="I366" s="60"/>
      <c r="J366" s="60"/>
      <c r="K366" s="60"/>
      <c r="L366" s="60"/>
      <c r="M366" s="60"/>
      <c r="N366" s="60"/>
      <c r="O366" s="60"/>
      <c r="P366" s="60"/>
      <c r="Q366" s="60"/>
      <c r="R366" s="60"/>
      <c r="S366" s="70"/>
      <c r="T366" s="70"/>
      <c r="U366" s="70"/>
      <c r="V366" s="70"/>
      <c r="W366" s="70"/>
      <c r="X366" s="70"/>
      <c r="Y366" s="70"/>
      <c r="Z366" s="70"/>
      <c r="AA366" s="70"/>
      <c r="AB366" s="70"/>
      <c r="AC366" s="70"/>
      <c r="AD366" s="136"/>
      <c r="AE366" s="24"/>
      <c r="AF366" s="24"/>
      <c r="AG366" s="73"/>
      <c r="AH366" s="125"/>
      <c r="AI366" s="103"/>
      <c r="AK366" s="113"/>
      <c r="AL366" s="113"/>
      <c r="AM366" s="113"/>
      <c r="AN366" s="113"/>
      <c r="AO366" s="137"/>
      <c r="AP366" s="137"/>
      <c r="AQ366" s="137"/>
      <c r="AR366" s="137"/>
      <c r="AS366" s="137"/>
      <c r="AT366" s="137"/>
      <c r="AU366" s="67"/>
      <c r="AV366" s="44"/>
      <c r="AW366" s="67"/>
      <c r="AX366" s="75"/>
      <c r="AY366" s="123"/>
      <c r="AZ366" s="67"/>
      <c r="BA366" s="138"/>
      <c r="BB366" s="67"/>
      <c r="BC366" s="67"/>
      <c r="BD366" s="67"/>
      <c r="BE366" s="67"/>
      <c r="BF366" s="67"/>
      <c r="BG366" s="67"/>
      <c r="BH366" s="67"/>
      <c r="BI366" s="67"/>
      <c r="BJ366" s="67"/>
      <c r="BK366" s="67"/>
      <c r="BL366" s="67"/>
      <c r="BM366" s="70"/>
      <c r="BN366" s="70"/>
      <c r="BO366" s="70"/>
      <c r="BP366" s="70"/>
      <c r="BQ366" s="70"/>
      <c r="BR366" s="70"/>
      <c r="BS366" s="70"/>
      <c r="BT366" s="70"/>
      <c r="BU366" s="70"/>
      <c r="BV366" s="70"/>
      <c r="BW366" s="70"/>
      <c r="BX366" s="136"/>
      <c r="BY366" s="70"/>
      <c r="BZ366" s="67"/>
      <c r="CA366" s="67"/>
      <c r="CB366" s="67"/>
    </row>
    <row r="367" spans="1:80" s="28" customFormat="1" ht="16" customHeight="1">
      <c r="A367" s="39"/>
      <c r="B367" s="57"/>
      <c r="C367" s="67"/>
      <c r="D367" s="67"/>
      <c r="E367" s="39"/>
      <c r="F367" s="39"/>
      <c r="G367" s="39"/>
      <c r="H367" s="67"/>
      <c r="I367" s="60"/>
      <c r="J367" s="60"/>
      <c r="K367" s="60"/>
      <c r="L367" s="60"/>
      <c r="M367" s="60"/>
      <c r="N367" s="60"/>
      <c r="O367" s="60"/>
      <c r="P367" s="60"/>
      <c r="Q367" s="60"/>
      <c r="R367" s="60"/>
      <c r="S367" s="70"/>
      <c r="T367" s="70"/>
      <c r="U367" s="70"/>
      <c r="V367" s="70"/>
      <c r="W367" s="70"/>
      <c r="X367" s="70"/>
      <c r="Y367" s="70"/>
      <c r="Z367" s="70"/>
      <c r="AA367" s="70"/>
      <c r="AB367" s="70"/>
      <c r="AC367" s="70"/>
      <c r="AD367" s="136"/>
      <c r="AE367" s="24"/>
      <c r="AF367" s="24"/>
      <c r="AG367" s="73"/>
      <c r="AH367" s="125"/>
      <c r="AI367" s="103"/>
      <c r="AK367" s="113"/>
      <c r="AL367" s="113"/>
      <c r="AM367" s="113"/>
      <c r="AN367" s="113"/>
      <c r="AO367" s="137"/>
      <c r="AP367" s="137"/>
      <c r="AQ367" s="137"/>
      <c r="AR367" s="137"/>
      <c r="AS367" s="137"/>
      <c r="AT367" s="137"/>
      <c r="AU367" s="67"/>
      <c r="AV367" s="44"/>
      <c r="AW367" s="67"/>
      <c r="AX367" s="75"/>
      <c r="AY367" s="123"/>
      <c r="AZ367" s="67"/>
      <c r="BA367" s="138"/>
      <c r="BB367" s="67"/>
      <c r="BC367" s="67"/>
      <c r="BD367" s="67"/>
      <c r="BE367" s="67"/>
      <c r="BF367" s="67"/>
      <c r="BG367" s="67"/>
      <c r="BH367" s="67"/>
      <c r="BI367" s="67"/>
      <c r="BJ367" s="67"/>
      <c r="BK367" s="67"/>
      <c r="BL367" s="67"/>
      <c r="BM367" s="70"/>
      <c r="BN367" s="70"/>
      <c r="BO367" s="70"/>
      <c r="BP367" s="70"/>
      <c r="BQ367" s="70"/>
      <c r="BR367" s="70"/>
      <c r="BS367" s="70"/>
      <c r="BT367" s="70"/>
      <c r="BU367" s="70"/>
      <c r="BV367" s="70"/>
      <c r="BW367" s="70"/>
      <c r="BX367" s="136"/>
      <c r="BY367" s="70"/>
      <c r="BZ367" s="67"/>
      <c r="CA367" s="67"/>
      <c r="CB367" s="67"/>
    </row>
    <row r="368" spans="1:80" s="28" customFormat="1" ht="16" customHeight="1">
      <c r="A368" s="39"/>
      <c r="B368" s="57"/>
      <c r="C368" s="67"/>
      <c r="D368" s="67"/>
      <c r="E368" s="39"/>
      <c r="F368" s="39"/>
      <c r="G368" s="39"/>
      <c r="H368" s="67"/>
      <c r="I368" s="60"/>
      <c r="J368" s="60"/>
      <c r="K368" s="60"/>
      <c r="L368" s="60"/>
      <c r="M368" s="60"/>
      <c r="N368" s="60"/>
      <c r="O368" s="60"/>
      <c r="P368" s="60"/>
      <c r="Q368" s="60"/>
      <c r="R368" s="60"/>
      <c r="S368" s="70"/>
      <c r="T368" s="70"/>
      <c r="U368" s="70"/>
      <c r="V368" s="70"/>
      <c r="W368" s="70"/>
      <c r="X368" s="70"/>
      <c r="Y368" s="70"/>
      <c r="Z368" s="70"/>
      <c r="AA368" s="70"/>
      <c r="AB368" s="70"/>
      <c r="AC368" s="70"/>
      <c r="AD368" s="136"/>
      <c r="AE368" s="24"/>
      <c r="AF368" s="24"/>
      <c r="AG368" s="73"/>
      <c r="AH368" s="125"/>
      <c r="AI368" s="103"/>
      <c r="AK368" s="113"/>
      <c r="AL368" s="113"/>
      <c r="AM368" s="113"/>
      <c r="AN368" s="113"/>
      <c r="AO368" s="137"/>
      <c r="AP368" s="137"/>
      <c r="AQ368" s="137"/>
      <c r="AR368" s="137"/>
      <c r="AS368" s="137"/>
      <c r="AT368" s="137"/>
      <c r="AU368" s="67"/>
      <c r="AV368" s="44"/>
      <c r="AW368" s="67"/>
      <c r="AX368" s="75"/>
      <c r="AY368" s="123"/>
      <c r="AZ368" s="67"/>
      <c r="BA368" s="138"/>
      <c r="BB368" s="67"/>
      <c r="BC368" s="67"/>
      <c r="BD368" s="67"/>
      <c r="BE368" s="67"/>
      <c r="BF368" s="67"/>
      <c r="BG368" s="67"/>
      <c r="BH368" s="67"/>
      <c r="BI368" s="67"/>
      <c r="BJ368" s="67"/>
      <c r="BK368" s="67"/>
      <c r="BL368" s="67"/>
      <c r="BM368" s="70"/>
      <c r="BN368" s="70"/>
      <c r="BO368" s="70"/>
      <c r="BP368" s="70"/>
      <c r="BQ368" s="70"/>
      <c r="BR368" s="70"/>
      <c r="BS368" s="70"/>
      <c r="BT368" s="70"/>
      <c r="BU368" s="70"/>
      <c r="BV368" s="70"/>
      <c r="BW368" s="70"/>
      <c r="BX368" s="136"/>
      <c r="BY368" s="70"/>
      <c r="BZ368" s="67"/>
      <c r="CA368" s="67"/>
      <c r="CB368" s="67"/>
    </row>
    <row r="369" spans="1:80" s="28" customFormat="1" ht="16" customHeight="1">
      <c r="A369" s="39"/>
      <c r="B369" s="57"/>
      <c r="C369" s="67"/>
      <c r="D369" s="67"/>
      <c r="E369" s="39"/>
      <c r="F369" s="39"/>
      <c r="G369" s="39"/>
      <c r="H369" s="67"/>
      <c r="I369" s="60"/>
      <c r="J369" s="60"/>
      <c r="K369" s="60"/>
      <c r="L369" s="60"/>
      <c r="M369" s="60"/>
      <c r="N369" s="60"/>
      <c r="O369" s="60"/>
      <c r="P369" s="60"/>
      <c r="Q369" s="60"/>
      <c r="R369" s="60"/>
      <c r="S369" s="70"/>
      <c r="T369" s="70"/>
      <c r="U369" s="70"/>
      <c r="V369" s="70"/>
      <c r="W369" s="70"/>
      <c r="X369" s="70"/>
      <c r="Y369" s="70"/>
      <c r="Z369" s="70"/>
      <c r="AA369" s="70"/>
      <c r="AB369" s="70"/>
      <c r="AC369" s="70"/>
      <c r="AD369" s="136"/>
      <c r="AE369" s="24"/>
      <c r="AF369" s="24"/>
      <c r="AG369" s="73"/>
      <c r="AH369" s="125"/>
      <c r="AI369" s="103"/>
      <c r="AK369" s="113"/>
      <c r="AL369" s="113"/>
      <c r="AM369" s="113"/>
      <c r="AN369" s="113"/>
      <c r="AO369" s="137"/>
      <c r="AP369" s="137"/>
      <c r="AQ369" s="137"/>
      <c r="AR369" s="137"/>
      <c r="AS369" s="137"/>
      <c r="AT369" s="137"/>
      <c r="AU369" s="67"/>
      <c r="AV369" s="44"/>
      <c r="AW369" s="67"/>
      <c r="AX369" s="75"/>
      <c r="AY369" s="123"/>
      <c r="AZ369" s="67"/>
      <c r="BA369" s="138"/>
      <c r="BB369" s="67"/>
      <c r="BC369" s="67"/>
      <c r="BD369" s="67"/>
      <c r="BE369" s="67"/>
      <c r="BF369" s="67"/>
      <c r="BG369" s="67"/>
      <c r="BH369" s="67"/>
      <c r="BI369" s="67"/>
      <c r="BJ369" s="67"/>
      <c r="BK369" s="67"/>
      <c r="BL369" s="67"/>
      <c r="BM369" s="70"/>
      <c r="BN369" s="70"/>
      <c r="BO369" s="70"/>
      <c r="BP369" s="70"/>
      <c r="BQ369" s="70"/>
      <c r="BR369" s="70"/>
      <c r="BS369" s="70"/>
      <c r="BT369" s="70"/>
      <c r="BU369" s="70"/>
      <c r="BV369" s="70"/>
      <c r="BW369" s="70"/>
      <c r="BX369" s="136"/>
      <c r="BY369" s="70"/>
      <c r="BZ369" s="67"/>
      <c r="CA369" s="67"/>
      <c r="CB369" s="67"/>
    </row>
    <row r="370" spans="1:80" s="28" customFormat="1" ht="16" customHeight="1">
      <c r="A370" s="39"/>
      <c r="B370" s="57"/>
      <c r="C370" s="67"/>
      <c r="D370" s="67"/>
      <c r="E370" s="39"/>
      <c r="F370" s="39"/>
      <c r="G370" s="39"/>
      <c r="H370" s="67"/>
      <c r="I370" s="60"/>
      <c r="J370" s="60"/>
      <c r="K370" s="60"/>
      <c r="L370" s="60"/>
      <c r="M370" s="60"/>
      <c r="N370" s="60"/>
      <c r="O370" s="60"/>
      <c r="P370" s="60"/>
      <c r="Q370" s="60"/>
      <c r="R370" s="60"/>
      <c r="S370" s="70"/>
      <c r="T370" s="70"/>
      <c r="U370" s="70"/>
      <c r="V370" s="70"/>
      <c r="W370" s="70"/>
      <c r="X370" s="70"/>
      <c r="Y370" s="70"/>
      <c r="Z370" s="70"/>
      <c r="AA370" s="70"/>
      <c r="AB370" s="70"/>
      <c r="AC370" s="70"/>
      <c r="AD370" s="136"/>
      <c r="AE370" s="24"/>
      <c r="AF370" s="24"/>
      <c r="AG370" s="73"/>
      <c r="AH370" s="125"/>
      <c r="AI370" s="103"/>
      <c r="AK370" s="113"/>
      <c r="AL370" s="113"/>
      <c r="AM370" s="113"/>
      <c r="AN370" s="113"/>
      <c r="AO370" s="137"/>
      <c r="AP370" s="137"/>
      <c r="AQ370" s="137"/>
      <c r="AR370" s="137"/>
      <c r="AS370" s="137"/>
      <c r="AT370" s="137"/>
      <c r="AU370" s="67"/>
      <c r="AV370" s="44"/>
      <c r="AW370" s="67"/>
      <c r="AX370" s="75"/>
      <c r="AY370" s="123"/>
      <c r="AZ370" s="67"/>
      <c r="BA370" s="138"/>
      <c r="BB370" s="67"/>
      <c r="BC370" s="67"/>
      <c r="BD370" s="67"/>
      <c r="BE370" s="67"/>
      <c r="BF370" s="67"/>
      <c r="BG370" s="67"/>
      <c r="BH370" s="67"/>
      <c r="BI370" s="67"/>
      <c r="BJ370" s="67"/>
      <c r="BK370" s="67"/>
      <c r="BL370" s="67"/>
      <c r="BM370" s="70"/>
      <c r="BN370" s="70"/>
      <c r="BO370" s="70"/>
      <c r="BP370" s="70"/>
      <c r="BQ370" s="70"/>
      <c r="BR370" s="70"/>
      <c r="BS370" s="70"/>
      <c r="BT370" s="70"/>
      <c r="BU370" s="70"/>
      <c r="BV370" s="70"/>
      <c r="BW370" s="70"/>
      <c r="BX370" s="136"/>
      <c r="BY370" s="70"/>
      <c r="BZ370" s="67"/>
      <c r="CA370" s="67"/>
      <c r="CB370" s="67"/>
    </row>
    <row r="371" spans="1:80" s="28" customFormat="1" ht="16" customHeight="1">
      <c r="A371" s="39"/>
      <c r="B371" s="57"/>
      <c r="C371" s="67"/>
      <c r="D371" s="67"/>
      <c r="E371" s="39"/>
      <c r="F371" s="39"/>
      <c r="G371" s="39"/>
      <c r="H371" s="67"/>
      <c r="I371" s="60"/>
      <c r="J371" s="60"/>
      <c r="K371" s="60"/>
      <c r="L371" s="60"/>
      <c r="M371" s="60"/>
      <c r="N371" s="60"/>
      <c r="O371" s="60"/>
      <c r="P371" s="60"/>
      <c r="Q371" s="60"/>
      <c r="R371" s="60"/>
      <c r="S371" s="70"/>
      <c r="T371" s="70"/>
      <c r="U371" s="70"/>
      <c r="V371" s="70"/>
      <c r="W371" s="70"/>
      <c r="X371" s="70"/>
      <c r="Y371" s="70"/>
      <c r="Z371" s="70"/>
      <c r="AA371" s="70"/>
      <c r="AB371" s="70"/>
      <c r="AC371" s="70"/>
      <c r="AD371" s="136"/>
      <c r="AE371" s="24"/>
      <c r="AF371" s="24"/>
      <c r="AG371" s="73"/>
      <c r="AH371" s="125"/>
      <c r="AI371" s="103"/>
      <c r="AK371" s="113"/>
      <c r="AL371" s="113"/>
      <c r="AM371" s="113"/>
      <c r="AN371" s="113"/>
      <c r="AO371" s="137"/>
      <c r="AP371" s="137"/>
      <c r="AQ371" s="137"/>
      <c r="AR371" s="137"/>
      <c r="AS371" s="137"/>
      <c r="AT371" s="137"/>
      <c r="AU371" s="67"/>
      <c r="AV371" s="44"/>
      <c r="AW371" s="67"/>
      <c r="AX371" s="75"/>
      <c r="AY371" s="123"/>
      <c r="AZ371" s="67"/>
      <c r="BA371" s="138"/>
      <c r="BB371" s="67"/>
      <c r="BC371" s="67"/>
      <c r="BD371" s="67"/>
      <c r="BE371" s="67"/>
      <c r="BF371" s="67"/>
      <c r="BG371" s="67"/>
      <c r="BH371" s="67"/>
      <c r="BI371" s="67"/>
      <c r="BJ371" s="67"/>
      <c r="BK371" s="67"/>
      <c r="BL371" s="67"/>
      <c r="BM371" s="70"/>
      <c r="BN371" s="70"/>
      <c r="BO371" s="70"/>
      <c r="BP371" s="70"/>
      <c r="BQ371" s="70"/>
      <c r="BR371" s="70"/>
      <c r="BS371" s="70"/>
      <c r="BT371" s="70"/>
      <c r="BU371" s="70"/>
      <c r="BV371" s="70"/>
      <c r="BW371" s="70"/>
      <c r="BX371" s="136"/>
      <c r="BY371" s="70"/>
      <c r="BZ371" s="67"/>
      <c r="CA371" s="67"/>
      <c r="CB371" s="67"/>
    </row>
    <row r="372" spans="1:80" s="28" customFormat="1" ht="16" customHeight="1">
      <c r="A372" s="39"/>
      <c r="B372" s="57"/>
      <c r="C372" s="67"/>
      <c r="D372" s="67"/>
      <c r="E372" s="39"/>
      <c r="F372" s="39"/>
      <c r="G372" s="39"/>
      <c r="H372" s="67"/>
      <c r="I372" s="60"/>
      <c r="J372" s="60"/>
      <c r="K372" s="60"/>
      <c r="L372" s="60"/>
      <c r="M372" s="60"/>
      <c r="N372" s="60"/>
      <c r="O372" s="60"/>
      <c r="P372" s="60"/>
      <c r="Q372" s="60"/>
      <c r="R372" s="60"/>
      <c r="S372" s="70"/>
      <c r="T372" s="70"/>
      <c r="U372" s="70"/>
      <c r="V372" s="70"/>
      <c r="W372" s="70"/>
      <c r="X372" s="70"/>
      <c r="Y372" s="70"/>
      <c r="Z372" s="70"/>
      <c r="AA372" s="70"/>
      <c r="AB372" s="70"/>
      <c r="AC372" s="70"/>
      <c r="AD372" s="136"/>
      <c r="AE372" s="24"/>
      <c r="AF372" s="24"/>
      <c r="AG372" s="73"/>
      <c r="AH372" s="125"/>
      <c r="AI372" s="103"/>
      <c r="AK372" s="113"/>
      <c r="AL372" s="113"/>
      <c r="AM372" s="113"/>
      <c r="AN372" s="113"/>
      <c r="AO372" s="137"/>
      <c r="AP372" s="137"/>
      <c r="AQ372" s="137"/>
      <c r="AR372" s="137"/>
      <c r="AS372" s="137"/>
      <c r="AT372" s="137"/>
      <c r="AU372" s="67"/>
      <c r="AV372" s="44"/>
      <c r="AW372" s="67"/>
      <c r="AX372" s="75"/>
      <c r="AY372" s="123"/>
      <c r="AZ372" s="67"/>
      <c r="BA372" s="138"/>
      <c r="BB372" s="67"/>
      <c r="BC372" s="67"/>
      <c r="BD372" s="67"/>
      <c r="BE372" s="67"/>
      <c r="BF372" s="67"/>
      <c r="BG372" s="67"/>
      <c r="BH372" s="67"/>
      <c r="BI372" s="67"/>
      <c r="BJ372" s="67"/>
      <c r="BK372" s="67"/>
      <c r="BL372" s="67"/>
      <c r="BM372" s="70"/>
      <c r="BN372" s="70"/>
      <c r="BO372" s="70"/>
      <c r="BP372" s="70"/>
      <c r="BQ372" s="70"/>
      <c r="BR372" s="70"/>
      <c r="BS372" s="70"/>
      <c r="BT372" s="70"/>
      <c r="BU372" s="70"/>
      <c r="BV372" s="70"/>
      <c r="BW372" s="70"/>
      <c r="BX372" s="136"/>
      <c r="BY372" s="70"/>
      <c r="BZ372" s="67"/>
      <c r="CA372" s="67"/>
      <c r="CB372" s="67"/>
    </row>
    <row r="373" spans="1:80" s="28" customFormat="1" ht="16" customHeight="1">
      <c r="A373" s="39"/>
      <c r="B373" s="57"/>
      <c r="C373" s="67"/>
      <c r="D373" s="67"/>
      <c r="E373" s="39"/>
      <c r="F373" s="39"/>
      <c r="G373" s="39"/>
      <c r="H373" s="67"/>
      <c r="I373" s="60"/>
      <c r="J373" s="60"/>
      <c r="K373" s="60"/>
      <c r="L373" s="60"/>
      <c r="M373" s="60"/>
      <c r="N373" s="60"/>
      <c r="O373" s="60"/>
      <c r="P373" s="60"/>
      <c r="Q373" s="60"/>
      <c r="R373" s="60"/>
      <c r="S373" s="70"/>
      <c r="T373" s="70"/>
      <c r="U373" s="70"/>
      <c r="V373" s="70"/>
      <c r="W373" s="70"/>
      <c r="X373" s="70"/>
      <c r="Y373" s="70"/>
      <c r="Z373" s="70"/>
      <c r="AA373" s="70"/>
      <c r="AB373" s="70"/>
      <c r="AC373" s="70"/>
      <c r="AD373" s="136"/>
      <c r="AE373" s="24"/>
      <c r="AF373" s="24"/>
      <c r="AG373" s="73"/>
      <c r="AH373" s="125"/>
      <c r="AI373" s="103"/>
      <c r="AK373" s="113"/>
      <c r="AL373" s="113"/>
      <c r="AM373" s="113"/>
      <c r="AN373" s="113"/>
      <c r="AO373" s="137"/>
      <c r="AP373" s="137"/>
      <c r="AQ373" s="137"/>
      <c r="AR373" s="137"/>
      <c r="AS373" s="137"/>
      <c r="AT373" s="137"/>
      <c r="AU373" s="67"/>
      <c r="AV373" s="44"/>
      <c r="AW373" s="67"/>
      <c r="AX373" s="75"/>
      <c r="AY373" s="123"/>
      <c r="AZ373" s="67"/>
      <c r="BA373" s="138"/>
      <c r="BB373" s="67"/>
      <c r="BC373" s="67"/>
      <c r="BD373" s="67"/>
      <c r="BE373" s="67"/>
      <c r="BF373" s="67"/>
      <c r="BG373" s="67"/>
      <c r="BH373" s="67"/>
      <c r="BI373" s="67"/>
      <c r="BJ373" s="67"/>
      <c r="BK373" s="67"/>
      <c r="BL373" s="67"/>
      <c r="BM373" s="70"/>
      <c r="BN373" s="70"/>
      <c r="BO373" s="70"/>
      <c r="BP373" s="70"/>
      <c r="BQ373" s="70"/>
      <c r="BR373" s="70"/>
      <c r="BS373" s="70"/>
      <c r="BT373" s="70"/>
      <c r="BU373" s="70"/>
      <c r="BV373" s="70"/>
      <c r="BW373" s="70"/>
      <c r="BX373" s="136"/>
      <c r="BY373" s="70"/>
      <c r="BZ373" s="67"/>
      <c r="CA373" s="67"/>
      <c r="CB373" s="67"/>
    </row>
    <row r="374" spans="1:80" s="28" customFormat="1" ht="16" customHeight="1">
      <c r="A374" s="39"/>
      <c r="B374" s="57"/>
      <c r="C374" s="67"/>
      <c r="D374" s="67"/>
      <c r="E374" s="39"/>
      <c r="F374" s="39"/>
      <c r="G374" s="39"/>
      <c r="H374" s="67"/>
      <c r="I374" s="60"/>
      <c r="J374" s="60"/>
      <c r="K374" s="60"/>
      <c r="L374" s="60"/>
      <c r="M374" s="60"/>
      <c r="N374" s="60"/>
      <c r="O374" s="60"/>
      <c r="P374" s="60"/>
      <c r="Q374" s="60"/>
      <c r="R374" s="60"/>
      <c r="S374" s="70"/>
      <c r="T374" s="70"/>
      <c r="U374" s="70"/>
      <c r="V374" s="70"/>
      <c r="W374" s="70"/>
      <c r="X374" s="70"/>
      <c r="Y374" s="70"/>
      <c r="Z374" s="70"/>
      <c r="AA374" s="70"/>
      <c r="AB374" s="70"/>
      <c r="AC374" s="70"/>
      <c r="AD374" s="136"/>
      <c r="AE374" s="24"/>
      <c r="AF374" s="24"/>
      <c r="AG374" s="73"/>
      <c r="AH374" s="125"/>
      <c r="AI374" s="103"/>
      <c r="AK374" s="113"/>
      <c r="AL374" s="113"/>
      <c r="AM374" s="113"/>
      <c r="AN374" s="113"/>
      <c r="AO374" s="137"/>
      <c r="AP374" s="137"/>
      <c r="AQ374" s="137"/>
      <c r="AR374" s="137"/>
      <c r="AS374" s="137"/>
      <c r="AT374" s="137"/>
      <c r="AU374" s="67"/>
      <c r="AV374" s="44"/>
      <c r="AW374" s="67"/>
      <c r="AX374" s="75"/>
      <c r="AY374" s="123"/>
      <c r="AZ374" s="67"/>
      <c r="BA374" s="138"/>
      <c r="BB374" s="67"/>
      <c r="BC374" s="67"/>
      <c r="BD374" s="67"/>
      <c r="BE374" s="67"/>
      <c r="BF374" s="67"/>
      <c r="BG374" s="67"/>
      <c r="BH374" s="67"/>
      <c r="BI374" s="67"/>
      <c r="BJ374" s="67"/>
      <c r="BK374" s="67"/>
      <c r="BL374" s="67"/>
      <c r="BM374" s="70"/>
      <c r="BN374" s="70"/>
      <c r="BO374" s="70"/>
      <c r="BP374" s="70"/>
      <c r="BQ374" s="70"/>
      <c r="BR374" s="70"/>
      <c r="BS374" s="70"/>
      <c r="BT374" s="70"/>
      <c r="BU374" s="70"/>
      <c r="BV374" s="70"/>
      <c r="BW374" s="70"/>
      <c r="BX374" s="136"/>
      <c r="BY374" s="70"/>
      <c r="BZ374" s="67"/>
      <c r="CA374" s="67"/>
      <c r="CB374" s="67"/>
    </row>
    <row r="375" spans="1:80" s="28" customFormat="1" ht="16" customHeight="1">
      <c r="A375" s="39"/>
      <c r="B375" s="57"/>
      <c r="C375" s="67"/>
      <c r="D375" s="67"/>
      <c r="E375" s="39"/>
      <c r="F375" s="39"/>
      <c r="G375" s="39"/>
      <c r="H375" s="67"/>
      <c r="I375" s="60"/>
      <c r="J375" s="60"/>
      <c r="K375" s="60"/>
      <c r="L375" s="60"/>
      <c r="M375" s="60"/>
      <c r="N375" s="60"/>
      <c r="O375" s="60"/>
      <c r="P375" s="60"/>
      <c r="Q375" s="60"/>
      <c r="R375" s="60"/>
      <c r="S375" s="70"/>
      <c r="T375" s="70"/>
      <c r="U375" s="70"/>
      <c r="V375" s="70"/>
      <c r="W375" s="70"/>
      <c r="X375" s="70"/>
      <c r="Y375" s="70"/>
      <c r="Z375" s="70"/>
      <c r="AA375" s="70"/>
      <c r="AB375" s="70"/>
      <c r="AC375" s="70"/>
      <c r="AD375" s="136"/>
      <c r="AE375" s="24"/>
      <c r="AF375" s="24"/>
      <c r="AG375" s="73"/>
      <c r="AH375" s="125"/>
      <c r="AI375" s="103"/>
      <c r="AK375" s="113"/>
      <c r="AL375" s="113"/>
      <c r="AM375" s="113"/>
      <c r="AN375" s="113"/>
      <c r="AO375" s="137"/>
      <c r="AP375" s="137"/>
      <c r="AQ375" s="137"/>
      <c r="AR375" s="137"/>
      <c r="AS375" s="137"/>
      <c r="AT375" s="137"/>
      <c r="AU375" s="67"/>
      <c r="AV375" s="44"/>
      <c r="AW375" s="67"/>
      <c r="AX375" s="75"/>
      <c r="AY375" s="123"/>
      <c r="AZ375" s="67"/>
      <c r="BA375" s="138"/>
      <c r="BB375" s="67"/>
      <c r="BC375" s="67"/>
      <c r="BD375" s="67"/>
      <c r="BE375" s="67"/>
      <c r="BF375" s="67"/>
      <c r="BG375" s="67"/>
      <c r="BH375" s="67"/>
      <c r="BI375" s="67"/>
      <c r="BJ375" s="67"/>
      <c r="BK375" s="67"/>
      <c r="BL375" s="67"/>
      <c r="BM375" s="70"/>
      <c r="BN375" s="70"/>
      <c r="BO375" s="70"/>
      <c r="BP375" s="70"/>
      <c r="BQ375" s="70"/>
      <c r="BR375" s="70"/>
      <c r="BS375" s="70"/>
      <c r="BT375" s="70"/>
      <c r="BU375" s="70"/>
      <c r="BV375" s="70"/>
      <c r="BW375" s="70"/>
      <c r="BX375" s="136"/>
      <c r="BY375" s="70"/>
      <c r="BZ375" s="67"/>
      <c r="CA375" s="67"/>
      <c r="CB375" s="67"/>
    </row>
    <row r="376" spans="1:80" s="28" customFormat="1" ht="16" customHeight="1">
      <c r="A376" s="39"/>
      <c r="B376" s="57"/>
      <c r="C376" s="67"/>
      <c r="D376" s="67"/>
      <c r="E376" s="39"/>
      <c r="F376" s="39"/>
      <c r="G376" s="39"/>
      <c r="H376" s="67"/>
      <c r="I376" s="60"/>
      <c r="J376" s="60"/>
      <c r="K376" s="60"/>
      <c r="L376" s="60"/>
      <c r="M376" s="60"/>
      <c r="N376" s="60"/>
      <c r="O376" s="60"/>
      <c r="P376" s="60"/>
      <c r="Q376" s="60"/>
      <c r="R376" s="60"/>
      <c r="S376" s="70"/>
      <c r="T376" s="70"/>
      <c r="U376" s="70"/>
      <c r="V376" s="70"/>
      <c r="W376" s="70"/>
      <c r="X376" s="70"/>
      <c r="Y376" s="70"/>
      <c r="Z376" s="70"/>
      <c r="AA376" s="70"/>
      <c r="AB376" s="70"/>
      <c r="AC376" s="70"/>
      <c r="AD376" s="136"/>
      <c r="AE376" s="24"/>
      <c r="AF376" s="24"/>
      <c r="AG376" s="73"/>
      <c r="AH376" s="125"/>
      <c r="AI376" s="103"/>
      <c r="AK376" s="113"/>
      <c r="AL376" s="113"/>
      <c r="AM376" s="113"/>
      <c r="AN376" s="113"/>
      <c r="AO376" s="137"/>
      <c r="AP376" s="137"/>
      <c r="AQ376" s="137"/>
      <c r="AR376" s="137"/>
      <c r="AS376" s="137"/>
      <c r="AT376" s="137"/>
      <c r="AU376" s="67"/>
      <c r="AV376" s="44"/>
      <c r="AW376" s="67"/>
      <c r="AX376" s="75"/>
      <c r="AY376" s="123"/>
      <c r="AZ376" s="67"/>
      <c r="BA376" s="138"/>
      <c r="BB376" s="67"/>
      <c r="BC376" s="67"/>
      <c r="BD376" s="67"/>
      <c r="BE376" s="67"/>
      <c r="BF376" s="67"/>
      <c r="BG376" s="67"/>
      <c r="BH376" s="67"/>
      <c r="BI376" s="67"/>
      <c r="BJ376" s="67"/>
      <c r="BK376" s="67"/>
      <c r="BL376" s="67"/>
      <c r="BM376" s="70"/>
      <c r="BN376" s="70"/>
      <c r="BO376" s="70"/>
      <c r="BP376" s="70"/>
      <c r="BQ376" s="70"/>
      <c r="BR376" s="70"/>
      <c r="BS376" s="70"/>
      <c r="BT376" s="70"/>
      <c r="BU376" s="70"/>
      <c r="BV376" s="70"/>
      <c r="BW376" s="70"/>
      <c r="BX376" s="136"/>
      <c r="BY376" s="70"/>
      <c r="BZ376" s="67"/>
      <c r="CA376" s="67"/>
      <c r="CB376" s="67"/>
    </row>
    <row r="377" spans="1:80" s="28" customFormat="1" ht="16" customHeight="1">
      <c r="A377" s="39"/>
      <c r="B377" s="57"/>
      <c r="C377" s="67"/>
      <c r="D377" s="67"/>
      <c r="E377" s="39"/>
      <c r="F377" s="39"/>
      <c r="G377" s="39"/>
      <c r="H377" s="67"/>
      <c r="I377" s="60"/>
      <c r="J377" s="60"/>
      <c r="K377" s="60"/>
      <c r="L377" s="60"/>
      <c r="M377" s="60"/>
      <c r="N377" s="60"/>
      <c r="O377" s="60"/>
      <c r="P377" s="60"/>
      <c r="Q377" s="60"/>
      <c r="R377" s="60"/>
      <c r="S377" s="70"/>
      <c r="T377" s="70"/>
      <c r="U377" s="70"/>
      <c r="V377" s="70"/>
      <c r="W377" s="70"/>
      <c r="X377" s="70"/>
      <c r="Y377" s="70"/>
      <c r="Z377" s="70"/>
      <c r="AA377" s="70"/>
      <c r="AB377" s="70"/>
      <c r="AC377" s="70"/>
      <c r="AD377" s="136"/>
      <c r="AE377" s="24"/>
      <c r="AF377" s="24"/>
      <c r="AG377" s="73"/>
      <c r="AH377" s="125"/>
      <c r="AI377" s="103"/>
      <c r="AK377" s="113"/>
      <c r="AL377" s="113"/>
      <c r="AM377" s="113"/>
      <c r="AN377" s="113"/>
      <c r="AO377" s="137"/>
      <c r="AP377" s="137"/>
      <c r="AQ377" s="137"/>
      <c r="AR377" s="137"/>
      <c r="AS377" s="137"/>
      <c r="AT377" s="137"/>
      <c r="AU377" s="67"/>
      <c r="AV377" s="44"/>
      <c r="AW377" s="67"/>
      <c r="AX377" s="75"/>
      <c r="AY377" s="123"/>
      <c r="AZ377" s="67"/>
      <c r="BA377" s="138"/>
      <c r="BB377" s="67"/>
      <c r="BC377" s="67"/>
      <c r="BD377" s="67"/>
      <c r="BE377" s="67"/>
      <c r="BF377" s="67"/>
      <c r="BG377" s="67"/>
      <c r="BH377" s="67"/>
      <c r="BI377" s="67"/>
      <c r="BJ377" s="67"/>
      <c r="BK377" s="67"/>
      <c r="BL377" s="67"/>
      <c r="BM377" s="70"/>
      <c r="BN377" s="70"/>
      <c r="BO377" s="70"/>
      <c r="BP377" s="70"/>
      <c r="BQ377" s="70"/>
      <c r="BR377" s="70"/>
      <c r="BS377" s="70"/>
      <c r="BT377" s="70"/>
      <c r="BU377" s="70"/>
      <c r="BV377" s="70"/>
      <c r="BW377" s="70"/>
      <c r="BX377" s="136"/>
      <c r="BY377" s="70"/>
      <c r="BZ377" s="67"/>
      <c r="CA377" s="67"/>
      <c r="CB377" s="67"/>
    </row>
    <row r="378" spans="1:80" s="28" customFormat="1" ht="16" customHeight="1">
      <c r="A378" s="39"/>
      <c r="B378" s="57"/>
      <c r="C378" s="67"/>
      <c r="D378" s="67"/>
      <c r="E378" s="39"/>
      <c r="F378" s="39"/>
      <c r="G378" s="39"/>
      <c r="H378" s="67"/>
      <c r="I378" s="60"/>
      <c r="J378" s="60"/>
      <c r="K378" s="60"/>
      <c r="L378" s="60"/>
      <c r="M378" s="60"/>
      <c r="N378" s="60"/>
      <c r="O378" s="60"/>
      <c r="P378" s="60"/>
      <c r="Q378" s="60"/>
      <c r="R378" s="60"/>
      <c r="S378" s="70"/>
      <c r="T378" s="70"/>
      <c r="U378" s="70"/>
      <c r="V378" s="70"/>
      <c r="W378" s="70"/>
      <c r="X378" s="70"/>
      <c r="Y378" s="70"/>
      <c r="Z378" s="70"/>
      <c r="AA378" s="70"/>
      <c r="AB378" s="70"/>
      <c r="AC378" s="70"/>
      <c r="AD378" s="136"/>
      <c r="AE378" s="24"/>
      <c r="AF378" s="24"/>
      <c r="AG378" s="73"/>
      <c r="AH378" s="125"/>
      <c r="AI378" s="103"/>
      <c r="AK378" s="113"/>
      <c r="AL378" s="113"/>
      <c r="AM378" s="113"/>
      <c r="AN378" s="113"/>
      <c r="AO378" s="137"/>
      <c r="AP378" s="137"/>
      <c r="AQ378" s="137"/>
      <c r="AR378" s="137"/>
      <c r="AS378" s="137"/>
      <c r="AT378" s="137"/>
      <c r="AU378" s="67"/>
      <c r="AV378" s="44"/>
      <c r="AW378" s="67"/>
      <c r="AX378" s="75"/>
      <c r="AY378" s="123"/>
      <c r="AZ378" s="67"/>
      <c r="BA378" s="138"/>
      <c r="BB378" s="67"/>
      <c r="BC378" s="67"/>
      <c r="BD378" s="67"/>
      <c r="BE378" s="67"/>
      <c r="BF378" s="67"/>
      <c r="BG378" s="67"/>
      <c r="BH378" s="67"/>
      <c r="BI378" s="67"/>
      <c r="BJ378" s="67"/>
      <c r="BK378" s="67"/>
      <c r="BL378" s="67"/>
      <c r="BM378" s="70"/>
      <c r="BN378" s="70"/>
      <c r="BO378" s="70"/>
      <c r="BP378" s="70"/>
      <c r="BQ378" s="70"/>
      <c r="BR378" s="70"/>
      <c r="BS378" s="70"/>
      <c r="BT378" s="70"/>
      <c r="BU378" s="70"/>
      <c r="BV378" s="70"/>
      <c r="BW378" s="70"/>
      <c r="BX378" s="136"/>
      <c r="BY378" s="70"/>
      <c r="BZ378" s="67"/>
      <c r="CA378" s="67"/>
      <c r="CB378" s="67"/>
    </row>
    <row r="379" spans="1:80" s="28" customFormat="1" ht="16" customHeight="1">
      <c r="A379" s="39"/>
      <c r="B379" s="57"/>
      <c r="C379" s="67"/>
      <c r="D379" s="67"/>
      <c r="E379" s="39"/>
      <c r="F379" s="39"/>
      <c r="G379" s="39"/>
      <c r="H379" s="67"/>
      <c r="I379" s="60"/>
      <c r="J379" s="60"/>
      <c r="K379" s="60"/>
      <c r="L379" s="60"/>
      <c r="M379" s="60"/>
      <c r="N379" s="60"/>
      <c r="O379" s="60"/>
      <c r="P379" s="60"/>
      <c r="Q379" s="60"/>
      <c r="R379" s="60"/>
      <c r="S379" s="70"/>
      <c r="T379" s="70"/>
      <c r="U379" s="70"/>
      <c r="V379" s="70"/>
      <c r="W379" s="70"/>
      <c r="X379" s="70"/>
      <c r="Y379" s="70"/>
      <c r="Z379" s="70"/>
      <c r="AA379" s="70"/>
      <c r="AB379" s="70"/>
      <c r="AC379" s="70"/>
      <c r="AD379" s="136"/>
      <c r="AE379" s="24"/>
      <c r="AF379" s="24"/>
      <c r="AG379" s="73"/>
      <c r="AH379" s="125"/>
      <c r="AI379" s="103"/>
      <c r="AK379" s="113"/>
      <c r="AL379" s="113"/>
      <c r="AM379" s="113"/>
      <c r="AN379" s="113"/>
      <c r="AO379" s="137"/>
      <c r="AP379" s="137"/>
      <c r="AQ379" s="137"/>
      <c r="AR379" s="137"/>
      <c r="AS379" s="137"/>
      <c r="AT379" s="137"/>
      <c r="AU379" s="67"/>
      <c r="AV379" s="44"/>
      <c r="AW379" s="67"/>
      <c r="AX379" s="75"/>
      <c r="AY379" s="123"/>
      <c r="AZ379" s="67"/>
      <c r="BA379" s="138"/>
      <c r="BB379" s="67"/>
      <c r="BC379" s="67"/>
      <c r="BD379" s="67"/>
      <c r="BE379" s="67"/>
      <c r="BF379" s="67"/>
      <c r="BG379" s="67"/>
      <c r="BH379" s="67"/>
      <c r="BI379" s="67"/>
      <c r="BJ379" s="67"/>
      <c r="BK379" s="67"/>
      <c r="BL379" s="67"/>
      <c r="BM379" s="70"/>
      <c r="BN379" s="70"/>
      <c r="BO379" s="70"/>
      <c r="BP379" s="70"/>
      <c r="BQ379" s="70"/>
      <c r="BR379" s="70"/>
      <c r="BS379" s="70"/>
      <c r="BT379" s="70"/>
      <c r="BU379" s="70"/>
      <c r="BV379" s="70"/>
      <c r="BW379" s="70"/>
      <c r="BX379" s="136"/>
      <c r="BY379" s="70"/>
      <c r="BZ379" s="67"/>
      <c r="CA379" s="67"/>
      <c r="CB379" s="67"/>
    </row>
    <row r="380" spans="1:80" s="28" customFormat="1" ht="16" customHeight="1">
      <c r="A380" s="39"/>
      <c r="B380" s="57"/>
      <c r="C380" s="67"/>
      <c r="D380" s="67"/>
      <c r="E380" s="39"/>
      <c r="F380" s="39"/>
      <c r="G380" s="39"/>
      <c r="H380" s="67"/>
      <c r="I380" s="60"/>
      <c r="J380" s="60"/>
      <c r="K380" s="60"/>
      <c r="L380" s="60"/>
      <c r="M380" s="60"/>
      <c r="N380" s="60"/>
      <c r="O380" s="60"/>
      <c r="P380" s="60"/>
      <c r="Q380" s="60"/>
      <c r="R380" s="60"/>
      <c r="S380" s="70"/>
      <c r="T380" s="70"/>
      <c r="U380" s="70"/>
      <c r="V380" s="70"/>
      <c r="W380" s="70"/>
      <c r="X380" s="70"/>
      <c r="Y380" s="70"/>
      <c r="Z380" s="70"/>
      <c r="AA380" s="70"/>
      <c r="AB380" s="70"/>
      <c r="AC380" s="70"/>
      <c r="AD380" s="136"/>
      <c r="AE380" s="24"/>
      <c r="AF380" s="24"/>
      <c r="AG380" s="73"/>
      <c r="AH380" s="125"/>
      <c r="AI380" s="103"/>
      <c r="AK380" s="113"/>
      <c r="AL380" s="113"/>
      <c r="AM380" s="113"/>
      <c r="AN380" s="113"/>
      <c r="AO380" s="137"/>
      <c r="AP380" s="137"/>
      <c r="AQ380" s="137"/>
      <c r="AR380" s="137"/>
      <c r="AS380" s="137"/>
      <c r="AT380" s="137"/>
      <c r="AU380" s="67"/>
      <c r="AV380" s="44"/>
      <c r="AW380" s="67"/>
      <c r="AX380" s="75"/>
      <c r="AY380" s="123"/>
      <c r="AZ380" s="67"/>
      <c r="BA380" s="138"/>
      <c r="BB380" s="67"/>
      <c r="BC380" s="67"/>
      <c r="BD380" s="67"/>
      <c r="BE380" s="67"/>
      <c r="BF380" s="67"/>
      <c r="BG380" s="67"/>
      <c r="BH380" s="67"/>
      <c r="BI380" s="67"/>
      <c r="BJ380" s="67"/>
      <c r="BK380" s="67"/>
      <c r="BL380" s="67"/>
      <c r="BM380" s="70"/>
      <c r="BN380" s="70"/>
      <c r="BO380" s="70"/>
      <c r="BP380" s="70"/>
      <c r="BQ380" s="70"/>
      <c r="BR380" s="70"/>
      <c r="BS380" s="70"/>
      <c r="BT380" s="70"/>
      <c r="BU380" s="70"/>
      <c r="BV380" s="70"/>
      <c r="BW380" s="70"/>
      <c r="BX380" s="136"/>
      <c r="BY380" s="70"/>
      <c r="BZ380" s="67"/>
      <c r="CA380" s="67"/>
      <c r="CB380" s="67"/>
    </row>
    <row r="381" spans="1:80" s="28" customFormat="1" ht="16" customHeight="1">
      <c r="A381" s="39"/>
      <c r="B381" s="57"/>
      <c r="C381" s="67"/>
      <c r="D381" s="67"/>
      <c r="E381" s="39"/>
      <c r="F381" s="39"/>
      <c r="G381" s="39"/>
      <c r="H381" s="67"/>
      <c r="I381" s="60"/>
      <c r="J381" s="60"/>
      <c r="K381" s="60"/>
      <c r="L381" s="60"/>
      <c r="M381" s="60"/>
      <c r="N381" s="60"/>
      <c r="O381" s="60"/>
      <c r="P381" s="60"/>
      <c r="Q381" s="60"/>
      <c r="R381" s="60"/>
      <c r="S381" s="70"/>
      <c r="T381" s="70"/>
      <c r="U381" s="70"/>
      <c r="V381" s="70"/>
      <c r="W381" s="70"/>
      <c r="X381" s="70"/>
      <c r="Y381" s="70"/>
      <c r="Z381" s="70"/>
      <c r="AA381" s="70"/>
      <c r="AB381" s="70"/>
      <c r="AC381" s="70"/>
      <c r="AD381" s="136"/>
      <c r="AE381" s="24"/>
      <c r="AF381" s="24"/>
      <c r="AG381" s="73"/>
      <c r="AH381" s="125"/>
      <c r="AI381" s="103"/>
      <c r="AK381" s="113"/>
      <c r="AL381" s="113"/>
      <c r="AM381" s="113"/>
      <c r="AN381" s="113"/>
      <c r="AO381" s="137"/>
      <c r="AP381" s="137"/>
      <c r="AQ381" s="137"/>
      <c r="AR381" s="137"/>
      <c r="AS381" s="137"/>
      <c r="AT381" s="137"/>
      <c r="AU381" s="67"/>
      <c r="AV381" s="44"/>
      <c r="AW381" s="67"/>
      <c r="AX381" s="75"/>
      <c r="AY381" s="123"/>
      <c r="AZ381" s="67"/>
      <c r="BA381" s="138"/>
      <c r="BB381" s="67"/>
      <c r="BC381" s="67"/>
      <c r="BD381" s="67"/>
      <c r="BE381" s="67"/>
      <c r="BF381" s="67"/>
      <c r="BG381" s="67"/>
      <c r="BH381" s="67"/>
      <c r="BI381" s="67"/>
      <c r="BJ381" s="67"/>
      <c r="BK381" s="67"/>
      <c r="BL381" s="67"/>
      <c r="BM381" s="70"/>
      <c r="BN381" s="70"/>
      <c r="BO381" s="70"/>
      <c r="BP381" s="70"/>
      <c r="BQ381" s="70"/>
      <c r="BR381" s="70"/>
      <c r="BS381" s="70"/>
      <c r="BT381" s="70"/>
      <c r="BU381" s="70"/>
      <c r="BV381" s="70"/>
      <c r="BW381" s="70"/>
      <c r="BX381" s="136"/>
      <c r="BY381" s="70"/>
      <c r="BZ381" s="67"/>
      <c r="CA381" s="67"/>
      <c r="CB381" s="67"/>
    </row>
    <row r="382" spans="1:80" s="28" customFormat="1" ht="16" customHeight="1">
      <c r="A382" s="39"/>
      <c r="B382" s="57"/>
      <c r="C382" s="67"/>
      <c r="D382" s="67"/>
      <c r="E382" s="39"/>
      <c r="F382" s="39"/>
      <c r="G382" s="39"/>
      <c r="H382" s="67"/>
      <c r="I382" s="60"/>
      <c r="J382" s="60"/>
      <c r="K382" s="60"/>
      <c r="L382" s="60"/>
      <c r="M382" s="60"/>
      <c r="N382" s="60"/>
      <c r="O382" s="60"/>
      <c r="P382" s="60"/>
      <c r="Q382" s="60"/>
      <c r="R382" s="60"/>
      <c r="S382" s="70"/>
      <c r="T382" s="70"/>
      <c r="U382" s="70"/>
      <c r="V382" s="70"/>
      <c r="W382" s="70"/>
      <c r="X382" s="70"/>
      <c r="Y382" s="70"/>
      <c r="Z382" s="70"/>
      <c r="AA382" s="70"/>
      <c r="AB382" s="70"/>
      <c r="AC382" s="70"/>
      <c r="AD382" s="136"/>
      <c r="AE382" s="24"/>
      <c r="AF382" s="24"/>
      <c r="AG382" s="73"/>
      <c r="AH382" s="125"/>
      <c r="AI382" s="103"/>
      <c r="AK382" s="113"/>
      <c r="AL382" s="113"/>
      <c r="AM382" s="113"/>
      <c r="AN382" s="113"/>
      <c r="AO382" s="137"/>
      <c r="AP382" s="137"/>
      <c r="AQ382" s="137"/>
      <c r="AR382" s="137"/>
      <c r="AS382" s="137"/>
      <c r="AT382" s="137"/>
      <c r="AU382" s="67"/>
      <c r="AV382" s="44"/>
      <c r="AW382" s="67"/>
      <c r="AX382" s="75"/>
      <c r="AY382" s="123"/>
      <c r="AZ382" s="67"/>
      <c r="BA382" s="138"/>
      <c r="BB382" s="67"/>
      <c r="BC382" s="67"/>
      <c r="BD382" s="67"/>
      <c r="BE382" s="67"/>
      <c r="BF382" s="67"/>
      <c r="BG382" s="67"/>
      <c r="BH382" s="67"/>
      <c r="BI382" s="67"/>
      <c r="BJ382" s="67"/>
      <c r="BK382" s="67"/>
      <c r="BL382" s="67"/>
      <c r="BM382" s="70"/>
      <c r="BN382" s="70"/>
      <c r="BO382" s="70"/>
      <c r="BP382" s="70"/>
      <c r="BQ382" s="70"/>
      <c r="BR382" s="70"/>
      <c r="BS382" s="70"/>
      <c r="BT382" s="70"/>
      <c r="BU382" s="70"/>
      <c r="BV382" s="70"/>
      <c r="BW382" s="70"/>
      <c r="BX382" s="136"/>
      <c r="BY382" s="70"/>
      <c r="BZ382" s="67"/>
      <c r="CA382" s="67"/>
      <c r="CB382" s="67"/>
    </row>
    <row r="383" spans="1:80" s="28" customFormat="1" ht="16" customHeight="1">
      <c r="A383" s="39"/>
      <c r="B383" s="57"/>
      <c r="C383" s="67"/>
      <c r="D383" s="67"/>
      <c r="E383" s="39"/>
      <c r="F383" s="39"/>
      <c r="G383" s="39"/>
      <c r="H383" s="67"/>
      <c r="I383" s="60"/>
      <c r="J383" s="60"/>
      <c r="K383" s="60"/>
      <c r="L383" s="60"/>
      <c r="M383" s="60"/>
      <c r="N383" s="60"/>
      <c r="O383" s="60"/>
      <c r="P383" s="60"/>
      <c r="Q383" s="60"/>
      <c r="R383" s="60"/>
      <c r="S383" s="70"/>
      <c r="T383" s="70"/>
      <c r="U383" s="70"/>
      <c r="V383" s="70"/>
      <c r="W383" s="70"/>
      <c r="X383" s="70"/>
      <c r="Y383" s="70"/>
      <c r="Z383" s="70"/>
      <c r="AA383" s="70"/>
      <c r="AB383" s="70"/>
      <c r="AC383" s="70"/>
      <c r="AD383" s="136"/>
      <c r="AE383" s="24"/>
      <c r="AF383" s="24"/>
      <c r="AG383" s="73"/>
      <c r="AH383" s="125"/>
      <c r="AI383" s="103"/>
      <c r="AK383" s="113"/>
      <c r="AL383" s="113"/>
      <c r="AM383" s="113"/>
      <c r="AN383" s="113"/>
      <c r="AO383" s="137"/>
      <c r="AP383" s="137"/>
      <c r="AQ383" s="137"/>
      <c r="AR383" s="137"/>
      <c r="AS383" s="137"/>
      <c r="AT383" s="137"/>
      <c r="AU383" s="67"/>
      <c r="AV383" s="44"/>
      <c r="AW383" s="67"/>
      <c r="AX383" s="75"/>
      <c r="AY383" s="123"/>
      <c r="AZ383" s="67"/>
      <c r="BA383" s="138"/>
      <c r="BB383" s="67"/>
      <c r="BC383" s="67"/>
      <c r="BD383" s="67"/>
      <c r="BE383" s="67"/>
      <c r="BF383" s="67"/>
      <c r="BG383" s="67"/>
      <c r="BH383" s="67"/>
      <c r="BI383" s="67"/>
      <c r="BJ383" s="67"/>
      <c r="BK383" s="67"/>
      <c r="BL383" s="67"/>
      <c r="BM383" s="70"/>
      <c r="BN383" s="70"/>
      <c r="BO383" s="70"/>
      <c r="BP383" s="70"/>
      <c r="BQ383" s="70"/>
      <c r="BR383" s="70"/>
      <c r="BS383" s="70"/>
      <c r="BT383" s="70"/>
      <c r="BU383" s="70"/>
      <c r="BV383" s="70"/>
      <c r="BW383" s="70"/>
      <c r="BX383" s="136"/>
      <c r="BY383" s="70"/>
      <c r="BZ383" s="67"/>
      <c r="CA383" s="67"/>
      <c r="CB383" s="67"/>
    </row>
    <row r="384" spans="1:80" s="28" customFormat="1" ht="16" customHeight="1">
      <c r="A384" s="39"/>
      <c r="B384" s="57"/>
      <c r="C384" s="67"/>
      <c r="D384" s="67"/>
      <c r="E384" s="39"/>
      <c r="F384" s="39"/>
      <c r="G384" s="39"/>
      <c r="H384" s="67"/>
      <c r="I384" s="60"/>
      <c r="J384" s="60"/>
      <c r="K384" s="60"/>
      <c r="L384" s="60"/>
      <c r="M384" s="60"/>
      <c r="N384" s="60"/>
      <c r="O384" s="60"/>
      <c r="P384" s="60"/>
      <c r="Q384" s="60"/>
      <c r="R384" s="60"/>
      <c r="S384" s="70"/>
      <c r="T384" s="70"/>
      <c r="U384" s="70"/>
      <c r="V384" s="70"/>
      <c r="W384" s="70"/>
      <c r="X384" s="70"/>
      <c r="Y384" s="70"/>
      <c r="Z384" s="70"/>
      <c r="AA384" s="70"/>
      <c r="AB384" s="70"/>
      <c r="AC384" s="70"/>
      <c r="AD384" s="136"/>
      <c r="AE384" s="24"/>
      <c r="AF384" s="24"/>
      <c r="AG384" s="73"/>
      <c r="AH384" s="125"/>
      <c r="AI384" s="103"/>
      <c r="AK384" s="113"/>
      <c r="AL384" s="113"/>
      <c r="AM384" s="113"/>
      <c r="AN384" s="113"/>
      <c r="AO384" s="137"/>
      <c r="AP384" s="137"/>
      <c r="AQ384" s="137"/>
      <c r="AR384" s="137"/>
      <c r="AS384" s="137"/>
      <c r="AT384" s="137"/>
      <c r="AU384" s="67"/>
      <c r="AV384" s="44"/>
      <c r="AW384" s="67"/>
      <c r="AX384" s="75"/>
      <c r="AY384" s="123"/>
      <c r="AZ384" s="67"/>
      <c r="BA384" s="138"/>
      <c r="BB384" s="67"/>
      <c r="BC384" s="67"/>
      <c r="BD384" s="67"/>
      <c r="BE384" s="67"/>
      <c r="BF384" s="67"/>
      <c r="BG384" s="67"/>
      <c r="BH384" s="67"/>
      <c r="BI384" s="67"/>
      <c r="BJ384" s="67"/>
      <c r="BK384" s="67"/>
      <c r="BL384" s="67"/>
      <c r="BM384" s="70"/>
      <c r="BN384" s="70"/>
      <c r="BO384" s="70"/>
      <c r="BP384" s="70"/>
      <c r="BQ384" s="70"/>
      <c r="BR384" s="70"/>
      <c r="BS384" s="70"/>
      <c r="BT384" s="70"/>
      <c r="BU384" s="70"/>
      <c r="BV384" s="70"/>
      <c r="BW384" s="70"/>
      <c r="BX384" s="136"/>
      <c r="BY384" s="70"/>
      <c r="BZ384" s="67"/>
      <c r="CA384" s="67"/>
      <c r="CB384" s="67"/>
    </row>
    <row r="385" spans="1:80" s="28" customFormat="1" ht="16" customHeight="1">
      <c r="A385" s="39"/>
      <c r="B385" s="57"/>
      <c r="C385" s="67"/>
      <c r="D385" s="67"/>
      <c r="E385" s="39"/>
      <c r="F385" s="39"/>
      <c r="G385" s="39"/>
      <c r="H385" s="67"/>
      <c r="I385" s="60"/>
      <c r="J385" s="60"/>
      <c r="K385" s="60"/>
      <c r="L385" s="60"/>
      <c r="M385" s="60"/>
      <c r="N385" s="60"/>
      <c r="O385" s="60"/>
      <c r="P385" s="60"/>
      <c r="Q385" s="60"/>
      <c r="R385" s="60"/>
      <c r="S385" s="70"/>
      <c r="T385" s="70"/>
      <c r="U385" s="70"/>
      <c r="V385" s="70"/>
      <c r="W385" s="70"/>
      <c r="X385" s="70"/>
      <c r="Y385" s="70"/>
      <c r="Z385" s="70"/>
      <c r="AA385" s="70"/>
      <c r="AB385" s="70"/>
      <c r="AC385" s="70"/>
      <c r="AD385" s="136"/>
      <c r="AE385" s="24"/>
      <c r="AF385" s="24"/>
      <c r="AG385" s="73"/>
      <c r="AH385" s="125"/>
      <c r="AI385" s="103"/>
      <c r="AK385" s="113"/>
      <c r="AL385" s="113"/>
      <c r="AM385" s="113"/>
      <c r="AN385" s="113"/>
      <c r="AO385" s="137"/>
      <c r="AP385" s="137"/>
      <c r="AQ385" s="137"/>
      <c r="AR385" s="137"/>
      <c r="AS385" s="137"/>
      <c r="AT385" s="137"/>
      <c r="AU385" s="67"/>
      <c r="AV385" s="44"/>
      <c r="AW385" s="67"/>
      <c r="AX385" s="75"/>
      <c r="AY385" s="123"/>
      <c r="AZ385" s="67"/>
      <c r="BA385" s="138"/>
      <c r="BB385" s="67"/>
      <c r="BC385" s="67"/>
      <c r="BD385" s="67"/>
      <c r="BE385" s="67"/>
      <c r="BF385" s="67"/>
      <c r="BG385" s="67"/>
      <c r="BH385" s="67"/>
      <c r="BI385" s="67"/>
      <c r="BJ385" s="67"/>
      <c r="BK385" s="67"/>
      <c r="BL385" s="67"/>
      <c r="BM385" s="70"/>
      <c r="BN385" s="70"/>
      <c r="BO385" s="70"/>
      <c r="BP385" s="70"/>
      <c r="BQ385" s="70"/>
      <c r="BR385" s="70"/>
      <c r="BS385" s="70"/>
      <c r="BT385" s="70"/>
      <c r="BU385" s="70"/>
      <c r="BV385" s="70"/>
      <c r="BW385" s="70"/>
      <c r="BX385" s="136"/>
      <c r="BY385" s="70"/>
      <c r="BZ385" s="67"/>
      <c r="CA385" s="67"/>
      <c r="CB385" s="67"/>
    </row>
    <row r="386" spans="1:80" s="28" customFormat="1" ht="16" customHeight="1">
      <c r="A386" s="39"/>
      <c r="B386" s="57"/>
      <c r="C386" s="67"/>
      <c r="D386" s="67"/>
      <c r="E386" s="39"/>
      <c r="F386" s="39"/>
      <c r="G386" s="39"/>
      <c r="H386" s="67"/>
      <c r="I386" s="60"/>
      <c r="J386" s="60"/>
      <c r="K386" s="60"/>
      <c r="L386" s="60"/>
      <c r="M386" s="60"/>
      <c r="N386" s="60"/>
      <c r="O386" s="60"/>
      <c r="P386" s="60"/>
      <c r="Q386" s="60"/>
      <c r="R386" s="60"/>
      <c r="S386" s="70"/>
      <c r="T386" s="70"/>
      <c r="U386" s="70"/>
      <c r="V386" s="70"/>
      <c r="W386" s="70"/>
      <c r="X386" s="70"/>
      <c r="Y386" s="70"/>
      <c r="Z386" s="70"/>
      <c r="AA386" s="70"/>
      <c r="AB386" s="70"/>
      <c r="AC386" s="70"/>
      <c r="AD386" s="136"/>
      <c r="AE386" s="24"/>
      <c r="AF386" s="24"/>
      <c r="AG386" s="73"/>
      <c r="AH386" s="125"/>
      <c r="AI386" s="103"/>
      <c r="AK386" s="113"/>
      <c r="AL386" s="113"/>
      <c r="AM386" s="113"/>
      <c r="AN386" s="113"/>
      <c r="AO386" s="137"/>
      <c r="AP386" s="137"/>
      <c r="AQ386" s="137"/>
      <c r="AR386" s="137"/>
      <c r="AS386" s="137"/>
      <c r="AT386" s="137"/>
      <c r="AU386" s="67"/>
      <c r="AV386" s="44"/>
      <c r="AW386" s="67"/>
      <c r="AX386" s="75"/>
      <c r="AY386" s="123"/>
      <c r="AZ386" s="67"/>
      <c r="BA386" s="138"/>
      <c r="BB386" s="67"/>
      <c r="BC386" s="67"/>
      <c r="BD386" s="67"/>
      <c r="BE386" s="67"/>
      <c r="BF386" s="67"/>
      <c r="BG386" s="67"/>
      <c r="BH386" s="67"/>
      <c r="BI386" s="67"/>
      <c r="BJ386" s="67"/>
      <c r="BK386" s="67"/>
      <c r="BL386" s="67"/>
      <c r="BM386" s="70"/>
      <c r="BN386" s="70"/>
      <c r="BO386" s="70"/>
      <c r="BP386" s="70"/>
      <c r="BQ386" s="70"/>
      <c r="BR386" s="70"/>
      <c r="BS386" s="70"/>
      <c r="BT386" s="70"/>
      <c r="BU386" s="70"/>
      <c r="BV386" s="70"/>
      <c r="BW386" s="70"/>
      <c r="BX386" s="136"/>
      <c r="BY386" s="70"/>
      <c r="BZ386" s="67"/>
      <c r="CA386" s="67"/>
      <c r="CB386" s="67"/>
    </row>
    <row r="387" spans="1:80" s="28" customFormat="1" ht="16" customHeight="1">
      <c r="A387" s="39"/>
      <c r="B387" s="57"/>
      <c r="C387" s="67"/>
      <c r="D387" s="67"/>
      <c r="E387" s="39"/>
      <c r="F387" s="39"/>
      <c r="G387" s="39"/>
      <c r="H387" s="67"/>
      <c r="I387" s="60"/>
      <c r="J387" s="60"/>
      <c r="K387" s="60"/>
      <c r="L387" s="60"/>
      <c r="M387" s="60"/>
      <c r="N387" s="60"/>
      <c r="O387" s="60"/>
      <c r="P387" s="60"/>
      <c r="Q387" s="60"/>
      <c r="R387" s="60"/>
      <c r="S387" s="70"/>
      <c r="T387" s="70"/>
      <c r="U387" s="70"/>
      <c r="V387" s="70"/>
      <c r="W387" s="70"/>
      <c r="X387" s="70"/>
      <c r="Y387" s="70"/>
      <c r="Z387" s="70"/>
      <c r="AA387" s="70"/>
      <c r="AB387" s="70"/>
      <c r="AC387" s="70"/>
      <c r="AD387" s="136"/>
      <c r="AE387" s="24"/>
      <c r="AF387" s="24"/>
      <c r="AG387" s="73"/>
      <c r="AH387" s="125"/>
      <c r="AI387" s="103"/>
      <c r="AK387" s="113"/>
      <c r="AL387" s="113"/>
      <c r="AM387" s="113"/>
      <c r="AN387" s="113"/>
      <c r="AO387" s="137"/>
      <c r="AP387" s="137"/>
      <c r="AQ387" s="137"/>
      <c r="AR387" s="137"/>
      <c r="AS387" s="137"/>
      <c r="AT387" s="137"/>
      <c r="AU387" s="67"/>
      <c r="AV387" s="44"/>
      <c r="AW387" s="67"/>
      <c r="AX387" s="75"/>
      <c r="AY387" s="123"/>
      <c r="AZ387" s="67"/>
      <c r="BA387" s="138"/>
      <c r="BB387" s="67"/>
      <c r="BC387" s="67"/>
      <c r="BD387" s="67"/>
      <c r="BE387" s="67"/>
      <c r="BF387" s="67"/>
      <c r="BG387" s="67"/>
      <c r="BH387" s="67"/>
      <c r="BI387" s="67"/>
      <c r="BJ387" s="67"/>
      <c r="BK387" s="67"/>
      <c r="BL387" s="67"/>
      <c r="BM387" s="70"/>
      <c r="BN387" s="70"/>
      <c r="BO387" s="70"/>
      <c r="BP387" s="70"/>
      <c r="BQ387" s="70"/>
      <c r="BR387" s="70"/>
      <c r="BS387" s="70"/>
      <c r="BT387" s="70"/>
      <c r="BU387" s="70"/>
      <c r="BV387" s="70"/>
      <c r="BW387" s="70"/>
      <c r="BX387" s="136"/>
      <c r="BY387" s="70"/>
      <c r="BZ387" s="67"/>
      <c r="CA387" s="67"/>
      <c r="CB387" s="67"/>
    </row>
    <row r="388" spans="1:80" s="28" customFormat="1" ht="16" customHeight="1">
      <c r="A388" s="39"/>
      <c r="B388" s="57"/>
      <c r="C388" s="67"/>
      <c r="D388" s="67"/>
      <c r="E388" s="39"/>
      <c r="F388" s="39"/>
      <c r="G388" s="39"/>
      <c r="H388" s="67"/>
      <c r="I388" s="60"/>
      <c r="J388" s="60"/>
      <c r="K388" s="60"/>
      <c r="L388" s="60"/>
      <c r="M388" s="60"/>
      <c r="N388" s="60"/>
      <c r="O388" s="60"/>
      <c r="P388" s="60"/>
      <c r="Q388" s="60"/>
      <c r="R388" s="60"/>
      <c r="S388" s="70"/>
      <c r="T388" s="70"/>
      <c r="U388" s="70"/>
      <c r="V388" s="70"/>
      <c r="W388" s="70"/>
      <c r="X388" s="70"/>
      <c r="Y388" s="70"/>
      <c r="Z388" s="70"/>
      <c r="AA388" s="70"/>
      <c r="AB388" s="70"/>
      <c r="AC388" s="70"/>
      <c r="AD388" s="136"/>
      <c r="AE388" s="24"/>
      <c r="AF388" s="24"/>
      <c r="AG388" s="73"/>
      <c r="AH388" s="125"/>
      <c r="AI388" s="103"/>
      <c r="AK388" s="113"/>
      <c r="AL388" s="113"/>
      <c r="AM388" s="113"/>
      <c r="AN388" s="113"/>
      <c r="AO388" s="137"/>
      <c r="AP388" s="137"/>
      <c r="AQ388" s="137"/>
      <c r="AR388" s="137"/>
      <c r="AS388" s="137"/>
      <c r="AT388" s="137"/>
      <c r="AU388" s="67"/>
      <c r="AV388" s="44"/>
      <c r="AW388" s="67"/>
      <c r="AX388" s="75"/>
      <c r="AY388" s="123"/>
      <c r="AZ388" s="67"/>
      <c r="BA388" s="138"/>
      <c r="BB388" s="67"/>
      <c r="BC388" s="67"/>
      <c r="BD388" s="67"/>
      <c r="BE388" s="67"/>
      <c r="BF388" s="67"/>
      <c r="BG388" s="67"/>
      <c r="BH388" s="67"/>
      <c r="BI388" s="67"/>
      <c r="BJ388" s="67"/>
      <c r="BK388" s="67"/>
      <c r="BL388" s="67"/>
      <c r="BM388" s="70"/>
      <c r="BN388" s="70"/>
      <c r="BO388" s="70"/>
      <c r="BP388" s="70"/>
      <c r="BQ388" s="70"/>
      <c r="BR388" s="70"/>
      <c r="BS388" s="70"/>
      <c r="BT388" s="70"/>
      <c r="BU388" s="70"/>
      <c r="BV388" s="70"/>
      <c r="BW388" s="70"/>
      <c r="BX388" s="136"/>
      <c r="BY388" s="70"/>
      <c r="BZ388" s="67"/>
      <c r="CA388" s="67"/>
      <c r="CB388" s="67"/>
    </row>
    <row r="389" spans="1:80" s="28" customFormat="1" ht="16" customHeight="1">
      <c r="A389" s="39"/>
      <c r="B389" s="57"/>
      <c r="C389" s="67"/>
      <c r="D389" s="67"/>
      <c r="E389" s="39"/>
      <c r="F389" s="39"/>
      <c r="G389" s="39"/>
      <c r="H389" s="67"/>
      <c r="I389" s="60"/>
      <c r="J389" s="60"/>
      <c r="K389" s="60"/>
      <c r="L389" s="60"/>
      <c r="M389" s="60"/>
      <c r="N389" s="60"/>
      <c r="O389" s="60"/>
      <c r="P389" s="60"/>
      <c r="Q389" s="60"/>
      <c r="R389" s="60"/>
      <c r="S389" s="70"/>
      <c r="T389" s="70"/>
      <c r="U389" s="70"/>
      <c r="V389" s="70"/>
      <c r="W389" s="70"/>
      <c r="X389" s="70"/>
      <c r="Y389" s="70"/>
      <c r="Z389" s="70"/>
      <c r="AA389" s="70"/>
      <c r="AB389" s="70"/>
      <c r="AC389" s="70"/>
      <c r="AD389" s="136"/>
      <c r="AE389" s="24"/>
      <c r="AF389" s="24"/>
      <c r="AG389" s="73"/>
      <c r="AH389" s="125"/>
      <c r="AI389" s="103"/>
      <c r="AK389" s="113"/>
      <c r="AL389" s="113"/>
      <c r="AM389" s="113"/>
      <c r="AN389" s="113"/>
      <c r="AO389" s="137"/>
      <c r="AP389" s="137"/>
      <c r="AQ389" s="137"/>
      <c r="AR389" s="137"/>
      <c r="AS389" s="137"/>
      <c r="AT389" s="137"/>
      <c r="AU389" s="67"/>
      <c r="AV389" s="44"/>
      <c r="AW389" s="67"/>
      <c r="AX389" s="75"/>
      <c r="AY389" s="123"/>
      <c r="AZ389" s="67"/>
      <c r="BA389" s="138"/>
      <c r="BB389" s="67"/>
      <c r="BC389" s="67"/>
      <c r="BD389" s="67"/>
      <c r="BE389" s="67"/>
      <c r="BF389" s="67"/>
      <c r="BG389" s="67"/>
      <c r="BH389" s="67"/>
      <c r="BI389" s="67"/>
      <c r="BJ389" s="67"/>
      <c r="BK389" s="67"/>
      <c r="BL389" s="67"/>
      <c r="BM389" s="70"/>
      <c r="BN389" s="70"/>
      <c r="BO389" s="70"/>
      <c r="BP389" s="70"/>
      <c r="BQ389" s="70"/>
      <c r="BR389" s="70"/>
      <c r="BS389" s="70"/>
      <c r="BT389" s="70"/>
      <c r="BU389" s="70"/>
      <c r="BV389" s="70"/>
      <c r="BW389" s="70"/>
      <c r="BX389" s="136"/>
      <c r="BY389" s="70"/>
      <c r="BZ389" s="67"/>
      <c r="CA389" s="67"/>
      <c r="CB389" s="67"/>
    </row>
    <row r="390" spans="1:80" s="28" customFormat="1" ht="16" customHeight="1">
      <c r="A390" s="39"/>
      <c r="B390" s="57"/>
      <c r="C390" s="67"/>
      <c r="D390" s="67"/>
      <c r="E390" s="39"/>
      <c r="F390" s="39"/>
      <c r="G390" s="39"/>
      <c r="H390" s="67"/>
      <c r="I390" s="60"/>
      <c r="J390" s="60"/>
      <c r="K390" s="60"/>
      <c r="L390" s="60"/>
      <c r="M390" s="60"/>
      <c r="N390" s="60"/>
      <c r="O390" s="60"/>
      <c r="P390" s="60"/>
      <c r="Q390" s="60"/>
      <c r="R390" s="60"/>
      <c r="S390" s="70"/>
      <c r="T390" s="70"/>
      <c r="U390" s="70"/>
      <c r="V390" s="70"/>
      <c r="W390" s="70"/>
      <c r="X390" s="70"/>
      <c r="Y390" s="70"/>
      <c r="Z390" s="70"/>
      <c r="AA390" s="70"/>
      <c r="AB390" s="70"/>
      <c r="AC390" s="70"/>
      <c r="AD390" s="136"/>
      <c r="AE390" s="24"/>
      <c r="AF390" s="24"/>
      <c r="AG390" s="73"/>
      <c r="AH390" s="125"/>
      <c r="AI390" s="103"/>
      <c r="AK390" s="113"/>
      <c r="AL390" s="113"/>
      <c r="AM390" s="113"/>
      <c r="AN390" s="113"/>
      <c r="AO390" s="137"/>
      <c r="AP390" s="137"/>
      <c r="AQ390" s="137"/>
      <c r="AR390" s="137"/>
      <c r="AS390" s="137"/>
      <c r="AT390" s="137"/>
      <c r="AU390" s="67"/>
      <c r="AV390" s="44"/>
      <c r="AW390" s="67"/>
      <c r="AX390" s="75"/>
      <c r="AY390" s="123"/>
      <c r="AZ390" s="67"/>
      <c r="BA390" s="138"/>
      <c r="BB390" s="67"/>
      <c r="BC390" s="67"/>
      <c r="BD390" s="67"/>
      <c r="BE390" s="67"/>
      <c r="BF390" s="67"/>
      <c r="BG390" s="67"/>
      <c r="BH390" s="67"/>
      <c r="BI390" s="67"/>
      <c r="BJ390" s="67"/>
      <c r="BK390" s="67"/>
      <c r="BL390" s="67"/>
      <c r="BM390" s="70"/>
      <c r="BN390" s="70"/>
      <c r="BO390" s="70"/>
      <c r="BP390" s="70"/>
      <c r="BQ390" s="70"/>
      <c r="BR390" s="70"/>
      <c r="BS390" s="70"/>
      <c r="BT390" s="70"/>
      <c r="BU390" s="70"/>
      <c r="BV390" s="70"/>
      <c r="BW390" s="70"/>
      <c r="BX390" s="136"/>
      <c r="BY390" s="70"/>
      <c r="BZ390" s="67"/>
      <c r="CA390" s="67"/>
      <c r="CB390" s="67"/>
    </row>
    <row r="391" spans="1:80" s="28" customFormat="1" ht="16" customHeight="1">
      <c r="A391" s="39"/>
      <c r="B391" s="57"/>
      <c r="C391" s="67"/>
      <c r="D391" s="67"/>
      <c r="E391" s="39"/>
      <c r="F391" s="39"/>
      <c r="G391" s="39"/>
      <c r="H391" s="67"/>
      <c r="I391" s="60"/>
      <c r="J391" s="60"/>
      <c r="K391" s="60"/>
      <c r="L391" s="60"/>
      <c r="M391" s="60"/>
      <c r="N391" s="60"/>
      <c r="O391" s="60"/>
      <c r="P391" s="60"/>
      <c r="Q391" s="60"/>
      <c r="R391" s="60"/>
      <c r="S391" s="70"/>
      <c r="T391" s="70"/>
      <c r="U391" s="70"/>
      <c r="V391" s="70"/>
      <c r="W391" s="70"/>
      <c r="X391" s="70"/>
      <c r="Y391" s="70"/>
      <c r="Z391" s="70"/>
      <c r="AA391" s="70"/>
      <c r="AB391" s="70"/>
      <c r="AC391" s="70"/>
      <c r="AD391" s="136"/>
      <c r="AE391" s="24"/>
      <c r="AF391" s="24"/>
      <c r="AG391" s="73"/>
      <c r="AH391" s="125"/>
      <c r="AI391" s="103"/>
      <c r="AK391" s="113"/>
      <c r="AL391" s="113"/>
      <c r="AM391" s="113"/>
      <c r="AN391" s="113"/>
      <c r="AO391" s="137"/>
      <c r="AP391" s="137"/>
      <c r="AQ391" s="137"/>
      <c r="AR391" s="137"/>
      <c r="AS391" s="137"/>
      <c r="AT391" s="137"/>
      <c r="AU391" s="67"/>
      <c r="AV391" s="44"/>
      <c r="AW391" s="67"/>
      <c r="AX391" s="75"/>
      <c r="AY391" s="123"/>
      <c r="AZ391" s="67"/>
      <c r="BA391" s="138"/>
      <c r="BB391" s="67"/>
      <c r="BC391" s="67"/>
      <c r="BD391" s="67"/>
      <c r="BE391" s="67"/>
      <c r="BF391" s="67"/>
      <c r="BG391" s="67"/>
      <c r="BH391" s="67"/>
      <c r="BI391" s="67"/>
      <c r="BJ391" s="67"/>
      <c r="BK391" s="67"/>
      <c r="BL391" s="67"/>
      <c r="BM391" s="70"/>
      <c r="BN391" s="70"/>
      <c r="BO391" s="70"/>
      <c r="BP391" s="70"/>
      <c r="BQ391" s="70"/>
      <c r="BR391" s="70"/>
      <c r="BS391" s="70"/>
      <c r="BT391" s="70"/>
      <c r="BU391" s="70"/>
      <c r="BV391" s="70"/>
      <c r="BW391" s="70"/>
      <c r="BX391" s="136"/>
      <c r="BY391" s="70"/>
      <c r="BZ391" s="67"/>
      <c r="CA391" s="67"/>
      <c r="CB391" s="67"/>
    </row>
    <row r="392" spans="1:80" s="28" customFormat="1" ht="16" customHeight="1">
      <c r="A392" s="39"/>
      <c r="B392" s="57"/>
      <c r="C392" s="67"/>
      <c r="D392" s="67"/>
      <c r="E392" s="39"/>
      <c r="F392" s="39"/>
      <c r="G392" s="39"/>
      <c r="H392" s="67"/>
      <c r="I392" s="60"/>
      <c r="J392" s="60"/>
      <c r="K392" s="60"/>
      <c r="L392" s="60"/>
      <c r="M392" s="60"/>
      <c r="N392" s="60"/>
      <c r="O392" s="60"/>
      <c r="P392" s="60"/>
      <c r="Q392" s="60"/>
      <c r="R392" s="60"/>
      <c r="S392" s="70"/>
      <c r="T392" s="70"/>
      <c r="U392" s="70"/>
      <c r="V392" s="70"/>
      <c r="W392" s="70"/>
      <c r="X392" s="70"/>
      <c r="Y392" s="70"/>
      <c r="Z392" s="70"/>
      <c r="AA392" s="70"/>
      <c r="AB392" s="70"/>
      <c r="AC392" s="70"/>
      <c r="AD392" s="136"/>
      <c r="AE392" s="24"/>
      <c r="AF392" s="24"/>
      <c r="AG392" s="73"/>
      <c r="AH392" s="125"/>
      <c r="AI392" s="103"/>
      <c r="AK392" s="113"/>
      <c r="AL392" s="113"/>
      <c r="AM392" s="113"/>
      <c r="AN392" s="113"/>
      <c r="AO392" s="137"/>
      <c r="AP392" s="137"/>
      <c r="AQ392" s="137"/>
      <c r="AR392" s="137"/>
      <c r="AS392" s="137"/>
      <c r="AT392" s="137"/>
      <c r="AU392" s="67"/>
      <c r="AV392" s="44"/>
      <c r="AW392" s="67"/>
      <c r="AX392" s="75"/>
      <c r="AY392" s="123"/>
      <c r="AZ392" s="67"/>
      <c r="BA392" s="138"/>
      <c r="BB392" s="67"/>
      <c r="BC392" s="67"/>
      <c r="BD392" s="67"/>
      <c r="BE392" s="67"/>
      <c r="BF392" s="67"/>
      <c r="BG392" s="67"/>
      <c r="BH392" s="67"/>
      <c r="BI392" s="67"/>
      <c r="BJ392" s="67"/>
      <c r="BK392" s="67"/>
      <c r="BL392" s="67"/>
      <c r="BM392" s="70"/>
      <c r="BN392" s="70"/>
      <c r="BO392" s="70"/>
      <c r="BP392" s="70"/>
      <c r="BQ392" s="70"/>
      <c r="BR392" s="70"/>
      <c r="BS392" s="70"/>
      <c r="BT392" s="70"/>
      <c r="BU392" s="70"/>
      <c r="BV392" s="70"/>
      <c r="BW392" s="70"/>
      <c r="BX392" s="136"/>
      <c r="BY392" s="70"/>
      <c r="BZ392" s="67"/>
      <c r="CA392" s="67"/>
      <c r="CB392" s="67"/>
    </row>
    <row r="393" spans="1:80" s="28" customFormat="1" ht="16" customHeight="1">
      <c r="A393" s="39"/>
      <c r="B393" s="57"/>
      <c r="C393" s="67"/>
      <c r="D393" s="67"/>
      <c r="E393" s="39"/>
      <c r="F393" s="39"/>
      <c r="G393" s="39"/>
      <c r="H393" s="67"/>
      <c r="I393" s="60"/>
      <c r="J393" s="60"/>
      <c r="K393" s="60"/>
      <c r="L393" s="60"/>
      <c r="M393" s="60"/>
      <c r="N393" s="60"/>
      <c r="O393" s="60"/>
      <c r="P393" s="60"/>
      <c r="Q393" s="60"/>
      <c r="R393" s="60"/>
      <c r="S393" s="70"/>
      <c r="T393" s="70"/>
      <c r="U393" s="70"/>
      <c r="V393" s="70"/>
      <c r="W393" s="70"/>
      <c r="X393" s="70"/>
      <c r="Y393" s="70"/>
      <c r="Z393" s="70"/>
      <c r="AA393" s="70"/>
      <c r="AB393" s="70"/>
      <c r="AC393" s="70"/>
      <c r="AD393" s="136"/>
      <c r="AE393" s="24"/>
      <c r="AF393" s="24"/>
      <c r="AG393" s="73"/>
      <c r="AH393" s="125"/>
      <c r="AI393" s="103"/>
      <c r="AK393" s="113"/>
      <c r="AL393" s="113"/>
      <c r="AM393" s="113"/>
      <c r="AN393" s="113"/>
      <c r="AO393" s="137"/>
      <c r="AP393" s="137"/>
      <c r="AQ393" s="137"/>
      <c r="AR393" s="137"/>
      <c r="AS393" s="137"/>
      <c r="AT393" s="137"/>
      <c r="AU393" s="67"/>
      <c r="AV393" s="44"/>
      <c r="AW393" s="67"/>
      <c r="AX393" s="75"/>
      <c r="AY393" s="123"/>
      <c r="AZ393" s="67"/>
      <c r="BA393" s="138"/>
      <c r="BB393" s="67"/>
      <c r="BC393" s="67"/>
      <c r="BD393" s="67"/>
      <c r="BE393" s="67"/>
      <c r="BF393" s="67"/>
      <c r="BG393" s="67"/>
      <c r="BH393" s="67"/>
      <c r="BI393" s="67"/>
      <c r="BJ393" s="67"/>
      <c r="BK393" s="67"/>
      <c r="BL393" s="67"/>
      <c r="BM393" s="70"/>
      <c r="BN393" s="70"/>
      <c r="BO393" s="70"/>
      <c r="BP393" s="70"/>
      <c r="BQ393" s="70"/>
      <c r="BR393" s="70"/>
      <c r="BS393" s="70"/>
      <c r="BT393" s="70"/>
      <c r="BU393" s="70"/>
      <c r="BV393" s="70"/>
      <c r="BW393" s="70"/>
      <c r="BX393" s="136"/>
      <c r="BY393" s="70"/>
      <c r="BZ393" s="67"/>
      <c r="CA393" s="67"/>
      <c r="CB393" s="67"/>
    </row>
    <row r="394" spans="1:80" s="28" customFormat="1" ht="16" customHeight="1">
      <c r="A394" s="39"/>
      <c r="B394" s="57"/>
      <c r="C394" s="67"/>
      <c r="D394" s="67"/>
      <c r="E394" s="39"/>
      <c r="F394" s="39"/>
      <c r="G394" s="39"/>
      <c r="H394" s="67"/>
      <c r="I394" s="60"/>
      <c r="J394" s="60"/>
      <c r="K394" s="60"/>
      <c r="L394" s="60"/>
      <c r="M394" s="60"/>
      <c r="N394" s="60"/>
      <c r="O394" s="60"/>
      <c r="P394" s="60"/>
      <c r="Q394" s="60"/>
      <c r="R394" s="60"/>
      <c r="S394" s="70"/>
      <c r="T394" s="70"/>
      <c r="U394" s="70"/>
      <c r="V394" s="70"/>
      <c r="W394" s="70"/>
      <c r="X394" s="70"/>
      <c r="Y394" s="70"/>
      <c r="Z394" s="70"/>
      <c r="AA394" s="70"/>
      <c r="AB394" s="70"/>
      <c r="AC394" s="70"/>
      <c r="AD394" s="136"/>
      <c r="AE394" s="24"/>
      <c r="AF394" s="24"/>
      <c r="AG394" s="73"/>
      <c r="AH394" s="125"/>
      <c r="AI394" s="103"/>
      <c r="AK394" s="113"/>
      <c r="AL394" s="113"/>
      <c r="AM394" s="113"/>
      <c r="AN394" s="113"/>
      <c r="AO394" s="137"/>
      <c r="AP394" s="137"/>
      <c r="AQ394" s="137"/>
      <c r="AR394" s="137"/>
      <c r="AS394" s="137"/>
      <c r="AT394" s="137"/>
      <c r="AU394" s="67"/>
      <c r="AV394" s="44"/>
      <c r="AW394" s="67"/>
      <c r="AX394" s="75"/>
      <c r="AY394" s="123"/>
      <c r="AZ394" s="67"/>
      <c r="BA394" s="138"/>
      <c r="BB394" s="67"/>
      <c r="BC394" s="67"/>
      <c r="BD394" s="67"/>
      <c r="BE394" s="67"/>
      <c r="BF394" s="67"/>
      <c r="BG394" s="67"/>
      <c r="BH394" s="67"/>
      <c r="BI394" s="67"/>
      <c r="BJ394" s="67"/>
      <c r="BK394" s="67"/>
      <c r="BL394" s="67"/>
      <c r="BM394" s="70"/>
      <c r="BN394" s="70"/>
      <c r="BO394" s="70"/>
      <c r="BP394" s="70"/>
      <c r="BQ394" s="70"/>
      <c r="BR394" s="70"/>
      <c r="BS394" s="70"/>
      <c r="BT394" s="70"/>
      <c r="BU394" s="70"/>
      <c r="BV394" s="70"/>
      <c r="BW394" s="70"/>
      <c r="BX394" s="136"/>
      <c r="BY394" s="70"/>
      <c r="BZ394" s="67"/>
      <c r="CA394" s="67"/>
      <c r="CB394" s="67"/>
    </row>
    <row r="395" spans="1:80" s="28" customFormat="1" ht="16" customHeight="1">
      <c r="A395" s="39"/>
      <c r="B395" s="57"/>
      <c r="C395" s="67"/>
      <c r="D395" s="67"/>
      <c r="E395" s="39"/>
      <c r="F395" s="39"/>
      <c r="G395" s="39"/>
      <c r="H395" s="67"/>
      <c r="I395" s="60"/>
      <c r="J395" s="60"/>
      <c r="K395" s="60"/>
      <c r="L395" s="60"/>
      <c r="M395" s="60"/>
      <c r="N395" s="60"/>
      <c r="O395" s="60"/>
      <c r="P395" s="60"/>
      <c r="Q395" s="60"/>
      <c r="R395" s="60"/>
      <c r="S395" s="70"/>
      <c r="T395" s="70"/>
      <c r="U395" s="70"/>
      <c r="V395" s="70"/>
      <c r="W395" s="70"/>
      <c r="X395" s="70"/>
      <c r="Y395" s="70"/>
      <c r="Z395" s="70"/>
      <c r="AA395" s="70"/>
      <c r="AB395" s="70"/>
      <c r="AC395" s="70"/>
      <c r="AD395" s="136"/>
      <c r="AE395" s="24"/>
      <c r="AF395" s="24"/>
      <c r="AG395" s="73"/>
      <c r="AH395" s="125"/>
      <c r="AI395" s="103"/>
      <c r="AK395" s="113"/>
      <c r="AL395" s="113"/>
      <c r="AM395" s="113"/>
      <c r="AN395" s="113"/>
      <c r="AO395" s="137"/>
      <c r="AP395" s="137"/>
      <c r="AQ395" s="137"/>
      <c r="AR395" s="137"/>
      <c r="AS395" s="137"/>
      <c r="AT395" s="137"/>
      <c r="AU395" s="67"/>
      <c r="AV395" s="44"/>
      <c r="AW395" s="67"/>
      <c r="AX395" s="75"/>
      <c r="AY395" s="123"/>
      <c r="AZ395" s="67"/>
      <c r="BA395" s="138"/>
      <c r="BB395" s="67"/>
      <c r="BC395" s="67"/>
      <c r="BD395" s="67"/>
      <c r="BE395" s="67"/>
      <c r="BF395" s="67"/>
      <c r="BG395" s="67"/>
      <c r="BH395" s="67"/>
      <c r="BI395" s="67"/>
      <c r="BJ395" s="67"/>
      <c r="BK395" s="67"/>
      <c r="BL395" s="67"/>
      <c r="BM395" s="70"/>
      <c r="BN395" s="70"/>
      <c r="BO395" s="70"/>
      <c r="BP395" s="70"/>
      <c r="BQ395" s="70"/>
      <c r="BR395" s="70"/>
      <c r="BS395" s="70"/>
      <c r="BT395" s="70"/>
      <c r="BU395" s="70"/>
      <c r="BV395" s="70"/>
      <c r="BW395" s="70"/>
      <c r="BX395" s="136"/>
      <c r="BY395" s="70"/>
      <c r="BZ395" s="67"/>
      <c r="CA395" s="67"/>
      <c r="CB395" s="67"/>
    </row>
    <row r="396" spans="1:80" s="28" customFormat="1" ht="16" customHeight="1">
      <c r="A396" s="39"/>
      <c r="B396" s="57"/>
      <c r="C396" s="67"/>
      <c r="D396" s="67"/>
      <c r="E396" s="39"/>
      <c r="F396" s="39"/>
      <c r="G396" s="39"/>
      <c r="H396" s="67"/>
      <c r="I396" s="60"/>
      <c r="J396" s="60"/>
      <c r="K396" s="60"/>
      <c r="L396" s="60"/>
      <c r="M396" s="60"/>
      <c r="N396" s="60"/>
      <c r="O396" s="60"/>
      <c r="P396" s="60"/>
      <c r="Q396" s="60"/>
      <c r="R396" s="60"/>
      <c r="S396" s="70"/>
      <c r="T396" s="70"/>
      <c r="U396" s="70"/>
      <c r="V396" s="70"/>
      <c r="W396" s="70"/>
      <c r="X396" s="70"/>
      <c r="Y396" s="70"/>
      <c r="Z396" s="70"/>
      <c r="AA396" s="70"/>
      <c r="AB396" s="70"/>
      <c r="AC396" s="70"/>
      <c r="AD396" s="136"/>
      <c r="AE396" s="24"/>
      <c r="AF396" s="24"/>
      <c r="AG396" s="73"/>
      <c r="AH396" s="125"/>
      <c r="AI396" s="103"/>
      <c r="AK396" s="113"/>
      <c r="AL396" s="113"/>
      <c r="AM396" s="113"/>
      <c r="AN396" s="113"/>
      <c r="AO396" s="137"/>
      <c r="AP396" s="137"/>
      <c r="AQ396" s="137"/>
      <c r="AR396" s="137"/>
      <c r="AS396" s="137"/>
      <c r="AT396" s="137"/>
      <c r="AU396" s="67"/>
      <c r="AV396" s="44"/>
      <c r="AW396" s="67"/>
      <c r="AX396" s="75"/>
      <c r="AY396" s="123"/>
      <c r="AZ396" s="67"/>
      <c r="BA396" s="138"/>
      <c r="BB396" s="67"/>
      <c r="BC396" s="67"/>
      <c r="BD396" s="67"/>
      <c r="BE396" s="67"/>
      <c r="BF396" s="67"/>
      <c r="BG396" s="67"/>
      <c r="BH396" s="67"/>
      <c r="BI396" s="67"/>
      <c r="BJ396" s="67"/>
      <c r="BK396" s="67"/>
      <c r="BL396" s="67"/>
      <c r="BM396" s="70"/>
      <c r="BN396" s="70"/>
      <c r="BO396" s="70"/>
      <c r="BP396" s="70"/>
      <c r="BQ396" s="70"/>
      <c r="BR396" s="70"/>
      <c r="BS396" s="70"/>
      <c r="BT396" s="70"/>
      <c r="BU396" s="70"/>
      <c r="BV396" s="70"/>
      <c r="BW396" s="70"/>
      <c r="BX396" s="136"/>
      <c r="BY396" s="70"/>
      <c r="BZ396" s="67"/>
      <c r="CA396" s="67"/>
      <c r="CB396" s="67"/>
    </row>
    <row r="397" spans="1:80" s="28" customFormat="1" ht="16" customHeight="1">
      <c r="A397" s="39"/>
      <c r="B397" s="57"/>
      <c r="C397" s="67"/>
      <c r="D397" s="67"/>
      <c r="E397" s="39"/>
      <c r="F397" s="39"/>
      <c r="G397" s="39"/>
      <c r="H397" s="67"/>
      <c r="I397" s="60"/>
      <c r="J397" s="60"/>
      <c r="K397" s="60"/>
      <c r="L397" s="60"/>
      <c r="M397" s="60"/>
      <c r="N397" s="60"/>
      <c r="O397" s="60"/>
      <c r="P397" s="60"/>
      <c r="Q397" s="60"/>
      <c r="R397" s="60"/>
      <c r="S397" s="70"/>
      <c r="T397" s="70"/>
      <c r="U397" s="70"/>
      <c r="V397" s="70"/>
      <c r="W397" s="70"/>
      <c r="X397" s="70"/>
      <c r="Y397" s="70"/>
      <c r="Z397" s="70"/>
      <c r="AA397" s="70"/>
      <c r="AB397" s="70"/>
      <c r="AC397" s="70"/>
      <c r="AD397" s="136"/>
      <c r="AE397" s="24"/>
      <c r="AF397" s="24"/>
      <c r="AG397" s="73"/>
      <c r="AH397" s="125"/>
      <c r="AI397" s="103"/>
      <c r="AK397" s="113"/>
      <c r="AL397" s="113"/>
      <c r="AM397" s="113"/>
      <c r="AN397" s="113"/>
      <c r="AO397" s="137"/>
      <c r="AP397" s="137"/>
      <c r="AQ397" s="137"/>
      <c r="AR397" s="137"/>
      <c r="AS397" s="137"/>
      <c r="AT397" s="137"/>
      <c r="AU397" s="67"/>
      <c r="AV397" s="44"/>
      <c r="AW397" s="67"/>
      <c r="AX397" s="75"/>
      <c r="AY397" s="123"/>
      <c r="AZ397" s="67"/>
      <c r="BA397" s="138"/>
      <c r="BB397" s="67"/>
      <c r="BC397" s="67"/>
      <c r="BD397" s="67"/>
      <c r="BE397" s="67"/>
      <c r="BF397" s="67"/>
      <c r="BG397" s="67"/>
      <c r="BH397" s="67"/>
      <c r="BI397" s="67"/>
      <c r="BJ397" s="67"/>
      <c r="BK397" s="67"/>
      <c r="BL397" s="67"/>
      <c r="BM397" s="70"/>
      <c r="BN397" s="70"/>
      <c r="BO397" s="70"/>
      <c r="BP397" s="70"/>
      <c r="BQ397" s="70"/>
      <c r="BR397" s="70"/>
      <c r="BS397" s="70"/>
      <c r="BT397" s="70"/>
      <c r="BU397" s="70"/>
      <c r="BV397" s="70"/>
      <c r="BW397" s="70"/>
      <c r="BX397" s="136"/>
      <c r="BY397" s="70"/>
      <c r="BZ397" s="67"/>
      <c r="CA397" s="67"/>
      <c r="CB397" s="67"/>
    </row>
    <row r="398" spans="1:80" s="28" customFormat="1" ht="16" customHeight="1">
      <c r="A398" s="39"/>
      <c r="B398" s="57"/>
      <c r="C398" s="67"/>
      <c r="D398" s="67"/>
      <c r="E398" s="39"/>
      <c r="F398" s="39"/>
      <c r="G398" s="39"/>
      <c r="H398" s="67"/>
      <c r="I398" s="60"/>
      <c r="J398" s="60"/>
      <c r="K398" s="60"/>
      <c r="L398" s="60"/>
      <c r="M398" s="60"/>
      <c r="N398" s="60"/>
      <c r="O398" s="60"/>
      <c r="P398" s="60"/>
      <c r="Q398" s="60"/>
      <c r="R398" s="60"/>
      <c r="S398" s="70"/>
      <c r="T398" s="70"/>
      <c r="U398" s="70"/>
      <c r="V398" s="70"/>
      <c r="W398" s="70"/>
      <c r="X398" s="70"/>
      <c r="Y398" s="70"/>
      <c r="Z398" s="70"/>
      <c r="AA398" s="70"/>
      <c r="AB398" s="70"/>
      <c r="AC398" s="70"/>
      <c r="AD398" s="136"/>
      <c r="AE398" s="24"/>
      <c r="AF398" s="24"/>
      <c r="AG398" s="73"/>
      <c r="AH398" s="125"/>
      <c r="AI398" s="103"/>
      <c r="AK398" s="113"/>
      <c r="AL398" s="113"/>
      <c r="AM398" s="113"/>
      <c r="AN398" s="113"/>
      <c r="AO398" s="137"/>
      <c r="AP398" s="137"/>
      <c r="AQ398" s="137"/>
      <c r="AR398" s="137"/>
      <c r="AS398" s="137"/>
      <c r="AT398" s="137"/>
      <c r="AU398" s="67"/>
      <c r="AV398" s="44"/>
      <c r="AW398" s="67"/>
      <c r="AX398" s="75"/>
      <c r="AY398" s="123"/>
      <c r="AZ398" s="67"/>
      <c r="BA398" s="138"/>
      <c r="BB398" s="67"/>
      <c r="BC398" s="67"/>
      <c r="BD398" s="67"/>
      <c r="BE398" s="67"/>
      <c r="BF398" s="67"/>
      <c r="BG398" s="67"/>
      <c r="BH398" s="67"/>
      <c r="BI398" s="67"/>
      <c r="BJ398" s="67"/>
      <c r="BK398" s="67"/>
      <c r="BL398" s="67"/>
      <c r="BM398" s="70"/>
      <c r="BN398" s="70"/>
      <c r="BO398" s="70"/>
      <c r="BP398" s="70"/>
      <c r="BQ398" s="70"/>
      <c r="BR398" s="70"/>
      <c r="BS398" s="70"/>
      <c r="BT398" s="70"/>
      <c r="BU398" s="70"/>
      <c r="BV398" s="70"/>
      <c r="BW398" s="70"/>
      <c r="BX398" s="136"/>
      <c r="BY398" s="70"/>
      <c r="BZ398" s="67"/>
      <c r="CA398" s="67"/>
      <c r="CB398" s="67"/>
    </row>
    <row r="399" spans="1:80" s="28" customFormat="1" ht="16" customHeight="1">
      <c r="A399" s="39"/>
      <c r="B399" s="57"/>
      <c r="C399" s="67"/>
      <c r="D399" s="67"/>
      <c r="E399" s="39"/>
      <c r="F399" s="39"/>
      <c r="G399" s="39"/>
      <c r="H399" s="67"/>
      <c r="I399" s="60"/>
      <c r="J399" s="60"/>
      <c r="K399" s="60"/>
      <c r="L399" s="60"/>
      <c r="M399" s="60"/>
      <c r="N399" s="60"/>
      <c r="O399" s="60"/>
      <c r="P399" s="60"/>
      <c r="Q399" s="60"/>
      <c r="R399" s="60"/>
      <c r="S399" s="70"/>
      <c r="T399" s="70"/>
      <c r="U399" s="70"/>
      <c r="V399" s="70"/>
      <c r="W399" s="70"/>
      <c r="X399" s="70"/>
      <c r="Y399" s="70"/>
      <c r="Z399" s="70"/>
      <c r="AA399" s="70"/>
      <c r="AB399" s="70"/>
      <c r="AC399" s="70"/>
      <c r="AD399" s="136"/>
      <c r="AE399" s="24"/>
      <c r="AF399" s="24"/>
      <c r="AG399" s="73"/>
      <c r="AH399" s="125"/>
      <c r="AI399" s="103"/>
      <c r="AK399" s="113"/>
      <c r="AL399" s="113"/>
      <c r="AM399" s="113"/>
      <c r="AN399" s="113"/>
      <c r="AO399" s="137"/>
      <c r="AP399" s="137"/>
      <c r="AQ399" s="137"/>
      <c r="AR399" s="137"/>
      <c r="AS399" s="137"/>
      <c r="AT399" s="137"/>
      <c r="AU399" s="67"/>
      <c r="AV399" s="44"/>
      <c r="AW399" s="67"/>
      <c r="AX399" s="75"/>
      <c r="AY399" s="123"/>
      <c r="AZ399" s="67"/>
      <c r="BA399" s="138"/>
      <c r="BB399" s="67"/>
      <c r="BC399" s="67"/>
      <c r="BD399" s="67"/>
      <c r="BE399" s="67"/>
      <c r="BF399" s="67"/>
      <c r="BG399" s="67"/>
      <c r="BH399" s="67"/>
      <c r="BI399" s="67"/>
      <c r="BJ399" s="67"/>
      <c r="BK399" s="67"/>
      <c r="BL399" s="67"/>
      <c r="BM399" s="70"/>
      <c r="BN399" s="70"/>
      <c r="BO399" s="70"/>
      <c r="BP399" s="70"/>
      <c r="BQ399" s="70"/>
      <c r="BR399" s="70"/>
      <c r="BS399" s="70"/>
      <c r="BT399" s="70"/>
      <c r="BU399" s="70"/>
      <c r="BV399" s="70"/>
      <c r="BW399" s="70"/>
      <c r="BX399" s="136"/>
      <c r="BY399" s="70"/>
      <c r="BZ399" s="67"/>
      <c r="CA399" s="67"/>
      <c r="CB399" s="67"/>
    </row>
    <row r="400" spans="1:80" s="28" customFormat="1" ht="16" customHeight="1">
      <c r="A400" s="39"/>
      <c r="B400" s="57"/>
      <c r="C400" s="67"/>
      <c r="D400" s="67"/>
      <c r="E400" s="39"/>
      <c r="F400" s="39"/>
      <c r="G400" s="39"/>
      <c r="H400" s="67"/>
      <c r="I400" s="60"/>
      <c r="J400" s="60"/>
      <c r="K400" s="60"/>
      <c r="L400" s="60"/>
      <c r="M400" s="60"/>
      <c r="N400" s="60"/>
      <c r="O400" s="60"/>
      <c r="P400" s="60"/>
      <c r="Q400" s="60"/>
      <c r="R400" s="60"/>
      <c r="S400" s="70"/>
      <c r="T400" s="70"/>
      <c r="U400" s="70"/>
      <c r="V400" s="70"/>
      <c r="W400" s="70"/>
      <c r="X400" s="70"/>
      <c r="Y400" s="70"/>
      <c r="Z400" s="70"/>
      <c r="AA400" s="70"/>
      <c r="AB400" s="70"/>
      <c r="AC400" s="70"/>
      <c r="AD400" s="136"/>
      <c r="AE400" s="24"/>
      <c r="AF400" s="24"/>
      <c r="AG400" s="73"/>
      <c r="AH400" s="125"/>
      <c r="AI400" s="103"/>
      <c r="AK400" s="113"/>
      <c r="AL400" s="113"/>
      <c r="AM400" s="113"/>
      <c r="AN400" s="113"/>
      <c r="AO400" s="137"/>
      <c r="AP400" s="137"/>
      <c r="AQ400" s="137"/>
      <c r="AR400" s="137"/>
      <c r="AS400" s="137"/>
      <c r="AT400" s="137"/>
      <c r="AU400" s="67"/>
      <c r="AV400" s="44"/>
      <c r="AW400" s="67"/>
      <c r="AX400" s="75"/>
      <c r="AY400" s="123"/>
      <c r="AZ400" s="67"/>
      <c r="BA400" s="138"/>
      <c r="BB400" s="67"/>
      <c r="BC400" s="67"/>
      <c r="BD400" s="67"/>
      <c r="BE400" s="67"/>
      <c r="BF400" s="67"/>
      <c r="BG400" s="67"/>
      <c r="BH400" s="67"/>
      <c r="BI400" s="67"/>
      <c r="BJ400" s="67"/>
      <c r="BK400" s="67"/>
      <c r="BL400" s="67"/>
      <c r="BM400" s="70"/>
      <c r="BN400" s="70"/>
      <c r="BO400" s="70"/>
      <c r="BP400" s="70"/>
      <c r="BQ400" s="70"/>
      <c r="BR400" s="70"/>
      <c r="BS400" s="70"/>
      <c r="BT400" s="70"/>
      <c r="BU400" s="70"/>
      <c r="BV400" s="70"/>
      <c r="BW400" s="70"/>
      <c r="BX400" s="136"/>
      <c r="BY400" s="70"/>
      <c r="BZ400" s="67"/>
      <c r="CA400" s="67"/>
      <c r="CB400" s="67"/>
    </row>
    <row r="401" spans="1:80" s="28" customFormat="1" ht="16" customHeight="1">
      <c r="A401" s="39"/>
      <c r="B401" s="57"/>
      <c r="C401" s="67"/>
      <c r="D401" s="67"/>
      <c r="E401" s="39"/>
      <c r="F401" s="39"/>
      <c r="G401" s="39"/>
      <c r="H401" s="67"/>
      <c r="I401" s="60"/>
      <c r="J401" s="60"/>
      <c r="K401" s="60"/>
      <c r="L401" s="60"/>
      <c r="M401" s="60"/>
      <c r="N401" s="60"/>
      <c r="O401" s="60"/>
      <c r="P401" s="60"/>
      <c r="Q401" s="60"/>
      <c r="R401" s="60"/>
      <c r="S401" s="70"/>
      <c r="T401" s="70"/>
      <c r="U401" s="70"/>
      <c r="V401" s="70"/>
      <c r="W401" s="70"/>
      <c r="X401" s="70"/>
      <c r="Y401" s="70"/>
      <c r="Z401" s="70"/>
      <c r="AA401" s="70"/>
      <c r="AB401" s="70"/>
      <c r="AC401" s="70"/>
      <c r="AD401" s="136"/>
      <c r="AE401" s="24"/>
      <c r="AF401" s="24"/>
      <c r="AG401" s="73"/>
      <c r="AH401" s="125"/>
      <c r="AI401" s="103"/>
      <c r="AK401" s="113"/>
      <c r="AL401" s="113"/>
      <c r="AM401" s="113"/>
      <c r="AN401" s="113"/>
      <c r="AO401" s="137"/>
      <c r="AP401" s="137"/>
      <c r="AQ401" s="137"/>
      <c r="AR401" s="137"/>
      <c r="AS401" s="137"/>
      <c r="AT401" s="137"/>
      <c r="AU401" s="67"/>
      <c r="AV401" s="44"/>
      <c r="AW401" s="67"/>
      <c r="AX401" s="75"/>
      <c r="AY401" s="123"/>
      <c r="AZ401" s="67"/>
      <c r="BA401" s="138"/>
      <c r="BB401" s="67"/>
      <c r="BC401" s="67"/>
      <c r="BD401" s="67"/>
      <c r="BE401" s="67"/>
      <c r="BF401" s="67"/>
      <c r="BG401" s="67"/>
      <c r="BH401" s="67"/>
      <c r="BI401" s="67"/>
      <c r="BJ401" s="67"/>
      <c r="BK401" s="67"/>
      <c r="BL401" s="67"/>
      <c r="BM401" s="70"/>
      <c r="BN401" s="70"/>
      <c r="BO401" s="70"/>
      <c r="BP401" s="70"/>
      <c r="BQ401" s="70"/>
      <c r="BR401" s="70"/>
      <c r="BS401" s="70"/>
      <c r="BT401" s="70"/>
      <c r="BU401" s="70"/>
      <c r="BV401" s="70"/>
      <c r="BW401" s="70"/>
      <c r="BX401" s="136"/>
      <c r="BY401" s="70"/>
      <c r="BZ401" s="67"/>
      <c r="CA401" s="67"/>
      <c r="CB401" s="67"/>
    </row>
    <row r="402" spans="1:80" s="28" customFormat="1" ht="16" customHeight="1">
      <c r="A402" s="39"/>
      <c r="B402" s="57"/>
      <c r="C402" s="67"/>
      <c r="D402" s="67"/>
      <c r="E402" s="39"/>
      <c r="F402" s="39"/>
      <c r="G402" s="39"/>
      <c r="H402" s="67"/>
      <c r="I402" s="60"/>
      <c r="J402" s="60"/>
      <c r="K402" s="60"/>
      <c r="L402" s="60"/>
      <c r="M402" s="60"/>
      <c r="N402" s="60"/>
      <c r="O402" s="60"/>
      <c r="P402" s="60"/>
      <c r="Q402" s="60"/>
      <c r="R402" s="60"/>
      <c r="S402" s="70"/>
      <c r="T402" s="70"/>
      <c r="U402" s="70"/>
      <c r="V402" s="70"/>
      <c r="W402" s="70"/>
      <c r="X402" s="70"/>
      <c r="Y402" s="70"/>
      <c r="Z402" s="70"/>
      <c r="AA402" s="70"/>
      <c r="AB402" s="70"/>
      <c r="AC402" s="70"/>
      <c r="AD402" s="136"/>
      <c r="AE402" s="24"/>
      <c r="AF402" s="24"/>
      <c r="AG402" s="73"/>
      <c r="AH402" s="125"/>
      <c r="AI402" s="103"/>
      <c r="AK402" s="113"/>
      <c r="AL402" s="113"/>
      <c r="AM402" s="113"/>
      <c r="AN402" s="113"/>
      <c r="AO402" s="137"/>
      <c r="AP402" s="137"/>
      <c r="AQ402" s="137"/>
      <c r="AR402" s="137"/>
      <c r="AS402" s="137"/>
      <c r="AT402" s="137"/>
      <c r="AU402" s="67"/>
      <c r="AV402" s="44"/>
      <c r="AW402" s="67"/>
      <c r="AX402" s="75"/>
      <c r="AY402" s="123"/>
      <c r="AZ402" s="67"/>
      <c r="BA402" s="138"/>
      <c r="BB402" s="67"/>
      <c r="BC402" s="67"/>
      <c r="BD402" s="67"/>
      <c r="BE402" s="67"/>
      <c r="BF402" s="67"/>
      <c r="BG402" s="67"/>
      <c r="BH402" s="67"/>
      <c r="BI402" s="67"/>
      <c r="BJ402" s="67"/>
      <c r="BK402" s="67"/>
      <c r="BL402" s="67"/>
      <c r="BM402" s="70"/>
      <c r="BN402" s="70"/>
      <c r="BO402" s="70"/>
      <c r="BP402" s="70"/>
      <c r="BQ402" s="70"/>
      <c r="BR402" s="70"/>
      <c r="BS402" s="70"/>
      <c r="BT402" s="70"/>
      <c r="BU402" s="70"/>
      <c r="BV402" s="70"/>
      <c r="BW402" s="70"/>
      <c r="BX402" s="136"/>
      <c r="BY402" s="70"/>
      <c r="BZ402" s="67"/>
      <c r="CA402" s="67"/>
      <c r="CB402" s="67"/>
    </row>
    <row r="403" spans="1:80" s="28" customFormat="1" ht="16" customHeight="1">
      <c r="A403" s="39"/>
      <c r="B403" s="57"/>
      <c r="C403" s="67"/>
      <c r="D403" s="67"/>
      <c r="E403" s="39"/>
      <c r="F403" s="39"/>
      <c r="G403" s="39"/>
      <c r="H403" s="67"/>
      <c r="I403" s="60"/>
      <c r="J403" s="60"/>
      <c r="K403" s="60"/>
      <c r="L403" s="60"/>
      <c r="M403" s="60"/>
      <c r="N403" s="60"/>
      <c r="O403" s="60"/>
      <c r="P403" s="60"/>
      <c r="Q403" s="60"/>
      <c r="R403" s="60"/>
      <c r="S403" s="70"/>
      <c r="T403" s="70"/>
      <c r="U403" s="70"/>
      <c r="V403" s="70"/>
      <c r="W403" s="70"/>
      <c r="X403" s="70"/>
      <c r="Y403" s="70"/>
      <c r="Z403" s="70"/>
      <c r="AA403" s="70"/>
      <c r="AB403" s="70"/>
      <c r="AC403" s="70"/>
      <c r="AD403" s="136"/>
      <c r="AE403" s="24"/>
      <c r="AF403" s="24"/>
      <c r="AG403" s="73"/>
      <c r="AH403" s="125"/>
      <c r="AI403" s="103"/>
      <c r="AK403" s="113"/>
      <c r="AL403" s="113"/>
      <c r="AM403" s="113"/>
      <c r="AN403" s="113"/>
      <c r="AO403" s="137"/>
      <c r="AP403" s="137"/>
      <c r="AQ403" s="137"/>
      <c r="AR403" s="137"/>
      <c r="AS403" s="137"/>
      <c r="AT403" s="137"/>
      <c r="AU403" s="67"/>
      <c r="AV403" s="44"/>
      <c r="AW403" s="67"/>
      <c r="AX403" s="75"/>
      <c r="AY403" s="123"/>
      <c r="AZ403" s="67"/>
      <c r="BA403" s="138"/>
      <c r="BB403" s="67"/>
      <c r="BC403" s="67"/>
      <c r="BD403" s="67"/>
      <c r="BE403" s="67"/>
      <c r="BF403" s="67"/>
      <c r="BG403" s="67"/>
      <c r="BH403" s="67"/>
      <c r="BI403" s="67"/>
      <c r="BJ403" s="67"/>
      <c r="BK403" s="67"/>
      <c r="BL403" s="67"/>
      <c r="BM403" s="70"/>
      <c r="BN403" s="70"/>
      <c r="BO403" s="70"/>
      <c r="BP403" s="70"/>
      <c r="BQ403" s="70"/>
      <c r="BR403" s="70"/>
      <c r="BS403" s="70"/>
      <c r="BT403" s="70"/>
      <c r="BU403" s="70"/>
      <c r="BV403" s="70"/>
      <c r="BW403" s="70"/>
      <c r="BX403" s="136"/>
      <c r="BY403" s="70"/>
      <c r="BZ403" s="67"/>
      <c r="CA403" s="67"/>
      <c r="CB403" s="67"/>
    </row>
    <row r="404" spans="1:80" s="28" customFormat="1" ht="16" customHeight="1">
      <c r="A404" s="39"/>
      <c r="B404" s="57"/>
      <c r="C404" s="67"/>
      <c r="D404" s="67"/>
      <c r="E404" s="39"/>
      <c r="F404" s="39"/>
      <c r="G404" s="39"/>
      <c r="H404" s="67"/>
      <c r="I404" s="60"/>
      <c r="J404" s="60"/>
      <c r="K404" s="60"/>
      <c r="L404" s="60"/>
      <c r="M404" s="60"/>
      <c r="N404" s="60"/>
      <c r="O404" s="60"/>
      <c r="P404" s="60"/>
      <c r="Q404" s="60"/>
      <c r="R404" s="60"/>
      <c r="S404" s="70"/>
      <c r="T404" s="70"/>
      <c r="U404" s="70"/>
      <c r="V404" s="70"/>
      <c r="W404" s="70"/>
      <c r="X404" s="70"/>
      <c r="Y404" s="70"/>
      <c r="Z404" s="70"/>
      <c r="AA404" s="70"/>
      <c r="AB404" s="70"/>
      <c r="AC404" s="70"/>
      <c r="AD404" s="136"/>
      <c r="AE404" s="24"/>
      <c r="AF404" s="24"/>
      <c r="AG404" s="73"/>
      <c r="AH404" s="125"/>
      <c r="AI404" s="103"/>
      <c r="AK404" s="113"/>
      <c r="AL404" s="113"/>
      <c r="AM404" s="113"/>
      <c r="AN404" s="113"/>
      <c r="AO404" s="137"/>
      <c r="AP404" s="137"/>
      <c r="AQ404" s="137"/>
      <c r="AR404" s="137"/>
      <c r="AS404" s="137"/>
      <c r="AT404" s="137"/>
      <c r="AU404" s="67"/>
      <c r="AV404" s="44"/>
      <c r="AW404" s="67"/>
      <c r="AX404" s="75"/>
      <c r="AY404" s="123"/>
      <c r="AZ404" s="67"/>
      <c r="BA404" s="138"/>
      <c r="BB404" s="67"/>
      <c r="BC404" s="67"/>
      <c r="BD404" s="67"/>
      <c r="BE404" s="67"/>
      <c r="BF404" s="67"/>
      <c r="BG404" s="67"/>
      <c r="BH404" s="67"/>
      <c r="BI404" s="67"/>
      <c r="BJ404" s="67"/>
      <c r="BK404" s="67"/>
      <c r="BL404" s="67"/>
      <c r="BM404" s="70"/>
      <c r="BN404" s="70"/>
      <c r="BO404" s="70"/>
      <c r="BP404" s="70"/>
      <c r="BQ404" s="70"/>
      <c r="BR404" s="70"/>
      <c r="BS404" s="70"/>
      <c r="BT404" s="70"/>
      <c r="BU404" s="70"/>
      <c r="BV404" s="70"/>
      <c r="BW404" s="70"/>
      <c r="BX404" s="136"/>
      <c r="BY404" s="70"/>
      <c r="BZ404" s="67"/>
      <c r="CA404" s="67"/>
      <c r="CB404" s="67"/>
    </row>
    <row r="405" spans="1:80" s="28" customFormat="1" ht="16" customHeight="1">
      <c r="A405" s="39"/>
      <c r="B405" s="57"/>
      <c r="C405" s="67"/>
      <c r="D405" s="67"/>
      <c r="E405" s="39"/>
      <c r="F405" s="39"/>
      <c r="G405" s="39"/>
      <c r="H405" s="67"/>
      <c r="I405" s="60"/>
      <c r="J405" s="60"/>
      <c r="K405" s="60"/>
      <c r="L405" s="60"/>
      <c r="M405" s="60"/>
      <c r="N405" s="60"/>
      <c r="O405" s="60"/>
      <c r="P405" s="60"/>
      <c r="Q405" s="60"/>
      <c r="R405" s="60"/>
      <c r="S405" s="70"/>
      <c r="T405" s="70"/>
      <c r="U405" s="70"/>
      <c r="V405" s="70"/>
      <c r="W405" s="70"/>
      <c r="X405" s="70"/>
      <c r="Y405" s="70"/>
      <c r="Z405" s="70"/>
      <c r="AA405" s="70"/>
      <c r="AB405" s="70"/>
      <c r="AC405" s="70"/>
      <c r="AD405" s="136"/>
      <c r="AE405" s="24"/>
      <c r="AF405" s="24"/>
      <c r="AG405" s="73"/>
      <c r="AH405" s="125"/>
      <c r="AI405" s="103"/>
      <c r="AK405" s="113"/>
      <c r="AL405" s="113"/>
      <c r="AM405" s="113"/>
      <c r="AN405" s="113"/>
      <c r="AO405" s="137"/>
      <c r="AP405" s="137"/>
      <c r="AQ405" s="137"/>
      <c r="AR405" s="137"/>
      <c r="AS405" s="137"/>
      <c r="AT405" s="137"/>
      <c r="AU405" s="67"/>
      <c r="AV405" s="44"/>
      <c r="AW405" s="67"/>
      <c r="AX405" s="75"/>
      <c r="AY405" s="123"/>
      <c r="AZ405" s="67"/>
      <c r="BA405" s="138"/>
      <c r="BB405" s="67"/>
      <c r="BC405" s="67"/>
      <c r="BD405" s="67"/>
      <c r="BE405" s="67"/>
      <c r="BF405" s="67"/>
      <c r="BG405" s="67"/>
      <c r="BH405" s="67"/>
      <c r="BI405" s="67"/>
      <c r="BJ405" s="67"/>
      <c r="BK405" s="67"/>
      <c r="BL405" s="67"/>
      <c r="BM405" s="70"/>
      <c r="BN405" s="70"/>
      <c r="BO405" s="70"/>
      <c r="BP405" s="70"/>
      <c r="BQ405" s="70"/>
      <c r="BR405" s="70"/>
      <c r="BS405" s="70"/>
      <c r="BT405" s="70"/>
      <c r="BU405" s="70"/>
      <c r="BV405" s="70"/>
      <c r="BW405" s="70"/>
      <c r="BX405" s="136"/>
      <c r="BY405" s="70"/>
      <c r="BZ405" s="67"/>
      <c r="CA405" s="67"/>
      <c r="CB405" s="67"/>
    </row>
    <row r="406" spans="1:80" s="28" customFormat="1" ht="16" customHeight="1">
      <c r="A406" s="39"/>
      <c r="B406" s="57"/>
      <c r="C406" s="67"/>
      <c r="D406" s="67"/>
      <c r="E406" s="39"/>
      <c r="F406" s="39"/>
      <c r="G406" s="39"/>
      <c r="H406" s="67"/>
      <c r="I406" s="60"/>
      <c r="J406" s="60"/>
      <c r="K406" s="60"/>
      <c r="L406" s="60"/>
      <c r="M406" s="60"/>
      <c r="N406" s="60"/>
      <c r="O406" s="60"/>
      <c r="P406" s="60"/>
      <c r="Q406" s="60"/>
      <c r="R406" s="60"/>
      <c r="S406" s="70"/>
      <c r="T406" s="70"/>
      <c r="U406" s="70"/>
      <c r="V406" s="70"/>
      <c r="W406" s="70"/>
      <c r="X406" s="70"/>
      <c r="Y406" s="70"/>
      <c r="Z406" s="70"/>
      <c r="AA406" s="70"/>
      <c r="AB406" s="70"/>
      <c r="AC406" s="70"/>
      <c r="AD406" s="136"/>
      <c r="AE406" s="24"/>
      <c r="AF406" s="24"/>
      <c r="AG406" s="73"/>
      <c r="AH406" s="125"/>
      <c r="AI406" s="103"/>
      <c r="AK406" s="113"/>
      <c r="AL406" s="113"/>
      <c r="AM406" s="113"/>
      <c r="AN406" s="113"/>
      <c r="AO406" s="137"/>
      <c r="AP406" s="137"/>
      <c r="AQ406" s="137"/>
      <c r="AR406" s="137"/>
      <c r="AS406" s="137"/>
      <c r="AT406" s="137"/>
      <c r="AU406" s="67"/>
      <c r="AV406" s="44"/>
      <c r="AW406" s="67"/>
      <c r="AX406" s="75"/>
      <c r="AY406" s="123"/>
      <c r="AZ406" s="67"/>
      <c r="BA406" s="138"/>
      <c r="BB406" s="67"/>
      <c r="BC406" s="67"/>
      <c r="BD406" s="67"/>
      <c r="BE406" s="67"/>
      <c r="BF406" s="67"/>
      <c r="BG406" s="67"/>
      <c r="BH406" s="67"/>
      <c r="BI406" s="67"/>
      <c r="BJ406" s="67"/>
      <c r="BK406" s="67"/>
      <c r="BL406" s="67"/>
      <c r="BM406" s="70"/>
      <c r="BN406" s="70"/>
      <c r="BO406" s="70"/>
      <c r="BP406" s="70"/>
      <c r="BQ406" s="70"/>
      <c r="BR406" s="70"/>
      <c r="BS406" s="70"/>
      <c r="BT406" s="70"/>
      <c r="BU406" s="70"/>
      <c r="BV406" s="70"/>
      <c r="BW406" s="70"/>
      <c r="BX406" s="136"/>
      <c r="BY406" s="70"/>
      <c r="BZ406" s="67"/>
      <c r="CA406" s="67"/>
      <c r="CB406" s="67"/>
    </row>
    <row r="407" spans="1:80" s="28" customFormat="1" ht="16" customHeight="1">
      <c r="A407" s="39"/>
      <c r="B407" s="57"/>
      <c r="C407" s="67"/>
      <c r="D407" s="67"/>
      <c r="E407" s="39"/>
      <c r="F407" s="39"/>
      <c r="G407" s="39"/>
      <c r="H407" s="67"/>
      <c r="I407" s="60"/>
      <c r="J407" s="60"/>
      <c r="K407" s="60"/>
      <c r="L407" s="60"/>
      <c r="M407" s="60"/>
      <c r="N407" s="60"/>
      <c r="O407" s="60"/>
      <c r="P407" s="60"/>
      <c r="Q407" s="60"/>
      <c r="R407" s="60"/>
      <c r="S407" s="70"/>
      <c r="T407" s="70"/>
      <c r="U407" s="70"/>
      <c r="V407" s="70"/>
      <c r="W407" s="70"/>
      <c r="X407" s="70"/>
      <c r="Y407" s="70"/>
      <c r="Z407" s="70"/>
      <c r="AA407" s="70"/>
      <c r="AB407" s="70"/>
      <c r="AC407" s="70"/>
      <c r="AD407" s="136"/>
      <c r="AE407" s="24"/>
      <c r="AF407" s="24"/>
      <c r="AG407" s="73"/>
      <c r="AH407" s="125"/>
      <c r="AI407" s="103"/>
      <c r="AK407" s="113"/>
      <c r="AL407" s="113"/>
      <c r="AM407" s="113"/>
      <c r="AN407" s="113"/>
      <c r="AO407" s="137"/>
      <c r="AP407" s="137"/>
      <c r="AQ407" s="137"/>
      <c r="AR407" s="137"/>
      <c r="AS407" s="137"/>
      <c r="AT407" s="137"/>
      <c r="AU407" s="67"/>
      <c r="AV407" s="44"/>
      <c r="AW407" s="67"/>
      <c r="AX407" s="75"/>
      <c r="AY407" s="123"/>
      <c r="AZ407" s="67"/>
      <c r="BA407" s="138"/>
      <c r="BB407" s="67"/>
      <c r="BC407" s="67"/>
      <c r="BD407" s="67"/>
      <c r="BE407" s="67"/>
      <c r="BF407" s="67"/>
      <c r="BG407" s="67"/>
      <c r="BH407" s="67"/>
      <c r="BI407" s="67"/>
      <c r="BJ407" s="67"/>
      <c r="BK407" s="67"/>
      <c r="BL407" s="67"/>
      <c r="BM407" s="70"/>
      <c r="BN407" s="70"/>
      <c r="BO407" s="70"/>
      <c r="BP407" s="70"/>
      <c r="BQ407" s="70"/>
      <c r="BR407" s="70"/>
      <c r="BS407" s="70"/>
      <c r="BT407" s="70"/>
      <c r="BU407" s="70"/>
      <c r="BV407" s="70"/>
      <c r="BW407" s="70"/>
      <c r="BX407" s="136"/>
      <c r="BY407" s="70"/>
      <c r="BZ407" s="67"/>
      <c r="CA407" s="67"/>
      <c r="CB407" s="67"/>
    </row>
    <row r="408" spans="1:80" s="28" customFormat="1" ht="16" customHeight="1">
      <c r="A408" s="39"/>
      <c r="B408" s="57"/>
      <c r="C408" s="67"/>
      <c r="D408" s="67"/>
      <c r="E408" s="39"/>
      <c r="F408" s="39"/>
      <c r="G408" s="39"/>
      <c r="H408" s="67"/>
      <c r="I408" s="60"/>
      <c r="J408" s="60"/>
      <c r="K408" s="60"/>
      <c r="L408" s="60"/>
      <c r="M408" s="60"/>
      <c r="N408" s="60"/>
      <c r="O408" s="60"/>
      <c r="P408" s="60"/>
      <c r="Q408" s="60"/>
      <c r="R408" s="60"/>
      <c r="S408" s="70"/>
      <c r="T408" s="70"/>
      <c r="U408" s="70"/>
      <c r="V408" s="70"/>
      <c r="W408" s="70"/>
      <c r="X408" s="70"/>
      <c r="Y408" s="70"/>
      <c r="Z408" s="70"/>
      <c r="AA408" s="70"/>
      <c r="AB408" s="70"/>
      <c r="AC408" s="70"/>
      <c r="AD408" s="136"/>
      <c r="AE408" s="24"/>
      <c r="AF408" s="24"/>
      <c r="AG408" s="73"/>
      <c r="AH408" s="125"/>
      <c r="AI408" s="103"/>
      <c r="AK408" s="113"/>
      <c r="AL408" s="113"/>
      <c r="AM408" s="113"/>
      <c r="AN408" s="113"/>
      <c r="AO408" s="137"/>
      <c r="AP408" s="137"/>
      <c r="AQ408" s="137"/>
      <c r="AR408" s="137"/>
      <c r="AS408" s="137"/>
      <c r="AT408" s="137"/>
      <c r="AU408" s="67"/>
      <c r="AV408" s="44"/>
      <c r="AW408" s="67"/>
      <c r="AX408" s="75"/>
      <c r="AY408" s="123"/>
      <c r="AZ408" s="67"/>
      <c r="BA408" s="138"/>
      <c r="BB408" s="67"/>
      <c r="BC408" s="67"/>
      <c r="BD408" s="67"/>
      <c r="BE408" s="67"/>
      <c r="BF408" s="67"/>
      <c r="BG408" s="67"/>
      <c r="BH408" s="67"/>
      <c r="BI408" s="67"/>
      <c r="BJ408" s="67"/>
      <c r="BK408" s="67"/>
      <c r="BL408" s="67"/>
      <c r="BM408" s="70"/>
      <c r="BN408" s="70"/>
      <c r="BO408" s="70"/>
      <c r="BP408" s="70"/>
      <c r="BQ408" s="70"/>
      <c r="BR408" s="70"/>
      <c r="BS408" s="70"/>
      <c r="BT408" s="70"/>
      <c r="BU408" s="70"/>
      <c r="BV408" s="70"/>
      <c r="BW408" s="70"/>
      <c r="BX408" s="136"/>
      <c r="BY408" s="70"/>
      <c r="BZ408" s="67"/>
      <c r="CA408" s="67"/>
      <c r="CB408" s="67"/>
    </row>
    <row r="409" spans="1:80" s="28" customFormat="1" ht="16" customHeight="1">
      <c r="A409" s="39"/>
      <c r="B409" s="57"/>
      <c r="C409" s="67"/>
      <c r="D409" s="67"/>
      <c r="E409" s="39"/>
      <c r="F409" s="39"/>
      <c r="G409" s="39"/>
      <c r="H409" s="67"/>
      <c r="I409" s="60"/>
      <c r="J409" s="60"/>
      <c r="K409" s="60"/>
      <c r="L409" s="60"/>
      <c r="M409" s="60"/>
      <c r="N409" s="60"/>
      <c r="O409" s="60"/>
      <c r="P409" s="60"/>
      <c r="Q409" s="60"/>
      <c r="R409" s="60"/>
      <c r="S409" s="70"/>
      <c r="T409" s="70"/>
      <c r="U409" s="70"/>
      <c r="V409" s="70"/>
      <c r="W409" s="70"/>
      <c r="X409" s="70"/>
      <c r="Y409" s="70"/>
      <c r="Z409" s="70"/>
      <c r="AA409" s="70"/>
      <c r="AB409" s="70"/>
      <c r="AC409" s="70"/>
      <c r="AD409" s="136"/>
      <c r="AE409" s="24"/>
      <c r="AF409" s="24"/>
      <c r="AG409" s="73"/>
      <c r="AH409" s="125"/>
      <c r="AI409" s="103"/>
      <c r="AK409" s="113"/>
      <c r="AL409" s="113"/>
      <c r="AM409" s="113"/>
      <c r="AN409" s="113"/>
      <c r="AO409" s="137"/>
      <c r="AP409" s="137"/>
      <c r="AQ409" s="137"/>
      <c r="AR409" s="137"/>
      <c r="AS409" s="137"/>
      <c r="AT409" s="137"/>
      <c r="AU409" s="67"/>
      <c r="AV409" s="44"/>
      <c r="AW409" s="67"/>
      <c r="AX409" s="75"/>
      <c r="AY409" s="123"/>
      <c r="AZ409" s="67"/>
      <c r="BA409" s="138"/>
      <c r="BB409" s="67"/>
      <c r="BC409" s="67"/>
      <c r="BD409" s="67"/>
      <c r="BE409" s="67"/>
      <c r="BF409" s="67"/>
      <c r="BG409" s="67"/>
      <c r="BH409" s="67"/>
      <c r="BI409" s="67"/>
      <c r="BJ409" s="67"/>
      <c r="BK409" s="67"/>
      <c r="BL409" s="67"/>
      <c r="BM409" s="70"/>
      <c r="BN409" s="70"/>
      <c r="BO409" s="70"/>
      <c r="BP409" s="70"/>
      <c r="BQ409" s="70"/>
      <c r="BR409" s="70"/>
      <c r="BS409" s="70"/>
      <c r="BT409" s="70"/>
      <c r="BU409" s="70"/>
      <c r="BV409" s="70"/>
      <c r="BW409" s="70"/>
      <c r="BX409" s="136"/>
      <c r="BY409" s="70"/>
      <c r="BZ409" s="67"/>
      <c r="CA409" s="67"/>
      <c r="CB409" s="67"/>
    </row>
    <row r="410" spans="1:80" s="28" customFormat="1" ht="16" customHeight="1">
      <c r="A410" s="39"/>
      <c r="B410" s="57"/>
      <c r="C410" s="67"/>
      <c r="D410" s="67"/>
      <c r="E410" s="39"/>
      <c r="F410" s="39"/>
      <c r="G410" s="39"/>
      <c r="H410" s="67"/>
      <c r="I410" s="60"/>
      <c r="J410" s="60"/>
      <c r="K410" s="60"/>
      <c r="L410" s="60"/>
      <c r="M410" s="60"/>
      <c r="N410" s="60"/>
      <c r="O410" s="60"/>
      <c r="P410" s="60"/>
      <c r="Q410" s="60"/>
      <c r="R410" s="60"/>
      <c r="S410" s="70"/>
      <c r="T410" s="70"/>
      <c r="U410" s="70"/>
      <c r="V410" s="70"/>
      <c r="W410" s="70"/>
      <c r="X410" s="70"/>
      <c r="Y410" s="70"/>
      <c r="Z410" s="70"/>
      <c r="AA410" s="70"/>
      <c r="AB410" s="70"/>
      <c r="AC410" s="70"/>
      <c r="AD410" s="136"/>
      <c r="AE410" s="24"/>
      <c r="AF410" s="24"/>
      <c r="AG410" s="73"/>
      <c r="AH410" s="125"/>
      <c r="AI410" s="103"/>
      <c r="AK410" s="113"/>
      <c r="AL410" s="113"/>
      <c r="AM410" s="113"/>
      <c r="AN410" s="113"/>
      <c r="AO410" s="137"/>
      <c r="AP410" s="137"/>
      <c r="AQ410" s="137"/>
      <c r="AR410" s="137"/>
      <c r="AS410" s="137"/>
      <c r="AT410" s="137"/>
      <c r="AU410" s="67"/>
      <c r="AV410" s="44"/>
      <c r="AW410" s="67"/>
      <c r="AX410" s="75"/>
      <c r="AY410" s="123"/>
      <c r="AZ410" s="67"/>
      <c r="BA410" s="138"/>
      <c r="BB410" s="67"/>
      <c r="BC410" s="67"/>
      <c r="BD410" s="67"/>
      <c r="BE410" s="67"/>
      <c r="BF410" s="67"/>
      <c r="BG410" s="67"/>
      <c r="BH410" s="67"/>
      <c r="BI410" s="67"/>
      <c r="BJ410" s="67"/>
      <c r="BK410" s="67"/>
      <c r="BL410" s="67"/>
      <c r="BM410" s="70"/>
      <c r="BN410" s="70"/>
      <c r="BO410" s="70"/>
      <c r="BP410" s="70"/>
      <c r="BQ410" s="70"/>
      <c r="BR410" s="70"/>
      <c r="BS410" s="70"/>
      <c r="BT410" s="70"/>
      <c r="BU410" s="70"/>
      <c r="BV410" s="70"/>
      <c r="BW410" s="70"/>
      <c r="BX410" s="136"/>
      <c r="BY410" s="70"/>
      <c r="BZ410" s="67"/>
      <c r="CA410" s="67"/>
      <c r="CB410" s="67"/>
    </row>
    <row r="411" spans="1:80" s="28" customFormat="1" ht="16" customHeight="1">
      <c r="A411" s="39"/>
      <c r="B411" s="57"/>
      <c r="C411" s="67"/>
      <c r="D411" s="67"/>
      <c r="E411" s="39"/>
      <c r="F411" s="39"/>
      <c r="G411" s="39"/>
      <c r="H411" s="67"/>
      <c r="I411" s="60"/>
      <c r="J411" s="60"/>
      <c r="K411" s="60"/>
      <c r="L411" s="60"/>
      <c r="M411" s="60"/>
      <c r="N411" s="60"/>
      <c r="O411" s="60"/>
      <c r="P411" s="60"/>
      <c r="Q411" s="60"/>
      <c r="R411" s="60"/>
      <c r="S411" s="70"/>
      <c r="T411" s="70"/>
      <c r="U411" s="70"/>
      <c r="V411" s="70"/>
      <c r="W411" s="70"/>
      <c r="X411" s="70"/>
      <c r="Y411" s="70"/>
      <c r="Z411" s="70"/>
      <c r="AA411" s="70"/>
      <c r="AB411" s="70"/>
      <c r="AC411" s="70"/>
      <c r="AD411" s="136"/>
      <c r="AE411" s="24"/>
      <c r="AF411" s="24"/>
      <c r="AG411" s="73"/>
      <c r="AH411" s="125"/>
      <c r="AI411" s="103"/>
      <c r="AK411" s="113"/>
      <c r="AL411" s="113"/>
      <c r="AM411" s="113"/>
      <c r="AN411" s="113"/>
      <c r="AO411" s="137"/>
      <c r="AP411" s="137"/>
      <c r="AQ411" s="137"/>
      <c r="AR411" s="137"/>
      <c r="AS411" s="137"/>
      <c r="AT411" s="137"/>
      <c r="AU411" s="67"/>
      <c r="AV411" s="44"/>
      <c r="AW411" s="67"/>
      <c r="AX411" s="75"/>
      <c r="AY411" s="123"/>
      <c r="AZ411" s="67"/>
      <c r="BA411" s="138"/>
      <c r="BB411" s="67"/>
      <c r="BC411" s="67"/>
      <c r="BD411" s="67"/>
      <c r="BE411" s="67"/>
      <c r="BF411" s="67"/>
      <c r="BG411" s="67"/>
      <c r="BH411" s="67"/>
      <c r="BI411" s="67"/>
      <c r="BJ411" s="67"/>
      <c r="BK411" s="67"/>
      <c r="BL411" s="67"/>
      <c r="BM411" s="70"/>
      <c r="BN411" s="70"/>
      <c r="BO411" s="70"/>
      <c r="BP411" s="70"/>
      <c r="BQ411" s="70"/>
      <c r="BR411" s="70"/>
      <c r="BS411" s="70"/>
      <c r="BT411" s="70"/>
      <c r="BU411" s="70"/>
      <c r="BV411" s="70"/>
      <c r="BW411" s="70"/>
      <c r="BX411" s="136"/>
      <c r="BY411" s="70"/>
      <c r="BZ411" s="67"/>
      <c r="CA411" s="67"/>
      <c r="CB411" s="67"/>
    </row>
    <row r="412" spans="1:80" s="28" customFormat="1" ht="16" customHeight="1">
      <c r="A412" s="39"/>
      <c r="B412" s="57"/>
      <c r="C412" s="67"/>
      <c r="D412" s="67"/>
      <c r="E412" s="39"/>
      <c r="F412" s="39"/>
      <c r="G412" s="39"/>
      <c r="H412" s="67"/>
      <c r="I412" s="60"/>
      <c r="J412" s="60"/>
      <c r="K412" s="60"/>
      <c r="L412" s="60"/>
      <c r="M412" s="60"/>
      <c r="N412" s="60"/>
      <c r="O412" s="60"/>
      <c r="P412" s="60"/>
      <c r="Q412" s="60"/>
      <c r="R412" s="60"/>
      <c r="S412" s="70"/>
      <c r="T412" s="70"/>
      <c r="U412" s="70"/>
      <c r="V412" s="70"/>
      <c r="W412" s="70"/>
      <c r="X412" s="70"/>
      <c r="Y412" s="70"/>
      <c r="Z412" s="70"/>
      <c r="AA412" s="70"/>
      <c r="AB412" s="70"/>
      <c r="AC412" s="70"/>
      <c r="AD412" s="136"/>
      <c r="AE412" s="24"/>
      <c r="AF412" s="24"/>
      <c r="AG412" s="73"/>
      <c r="AH412" s="125"/>
      <c r="AI412" s="103"/>
      <c r="AK412" s="113"/>
      <c r="AL412" s="113"/>
      <c r="AM412" s="113"/>
      <c r="AN412" s="113"/>
      <c r="AO412" s="137"/>
      <c r="AP412" s="137"/>
      <c r="AQ412" s="137"/>
      <c r="AR412" s="137"/>
      <c r="AS412" s="137"/>
      <c r="AT412" s="137"/>
      <c r="AU412" s="67"/>
      <c r="AV412" s="44"/>
      <c r="AW412" s="67"/>
      <c r="AX412" s="75"/>
      <c r="AY412" s="123"/>
      <c r="AZ412" s="67"/>
      <c r="BA412" s="138"/>
      <c r="BB412" s="67"/>
      <c r="BC412" s="67"/>
      <c r="BD412" s="67"/>
      <c r="BE412" s="67"/>
      <c r="BF412" s="67"/>
      <c r="BG412" s="67"/>
      <c r="BH412" s="67"/>
      <c r="BI412" s="67"/>
      <c r="BJ412" s="67"/>
      <c r="BK412" s="67"/>
      <c r="BL412" s="67"/>
      <c r="BM412" s="70"/>
      <c r="BN412" s="70"/>
      <c r="BO412" s="70"/>
      <c r="BP412" s="70"/>
      <c r="BQ412" s="70"/>
      <c r="BR412" s="70"/>
      <c r="BS412" s="70"/>
      <c r="BT412" s="70"/>
      <c r="BU412" s="70"/>
      <c r="BV412" s="70"/>
      <c r="BW412" s="70"/>
      <c r="BX412" s="136"/>
      <c r="BY412" s="70"/>
      <c r="BZ412" s="67"/>
      <c r="CA412" s="67"/>
      <c r="CB412" s="67"/>
    </row>
    <row r="413" spans="1:80" s="28" customFormat="1" ht="16" customHeight="1">
      <c r="A413" s="39"/>
      <c r="B413" s="57"/>
      <c r="C413" s="67"/>
      <c r="D413" s="67"/>
      <c r="E413" s="39"/>
      <c r="F413" s="39"/>
      <c r="G413" s="39"/>
      <c r="H413" s="67"/>
      <c r="I413" s="60"/>
      <c r="J413" s="60"/>
      <c r="K413" s="60"/>
      <c r="L413" s="60"/>
      <c r="M413" s="60"/>
      <c r="N413" s="60"/>
      <c r="O413" s="60"/>
      <c r="P413" s="60"/>
      <c r="Q413" s="60"/>
      <c r="R413" s="60"/>
      <c r="S413" s="70"/>
      <c r="T413" s="70"/>
      <c r="U413" s="70"/>
      <c r="V413" s="70"/>
      <c r="W413" s="70"/>
      <c r="X413" s="70"/>
      <c r="Y413" s="70"/>
      <c r="Z413" s="70"/>
      <c r="AA413" s="70"/>
      <c r="AB413" s="70"/>
      <c r="AC413" s="70"/>
      <c r="AD413" s="136"/>
      <c r="AE413" s="24"/>
      <c r="AF413" s="24"/>
      <c r="AG413" s="73"/>
      <c r="AH413" s="125"/>
      <c r="AI413" s="103"/>
      <c r="AK413" s="113"/>
      <c r="AL413" s="113"/>
      <c r="AM413" s="113"/>
      <c r="AN413" s="113"/>
      <c r="AO413" s="137"/>
      <c r="AP413" s="137"/>
      <c r="AQ413" s="137"/>
      <c r="AR413" s="137"/>
      <c r="AS413" s="137"/>
      <c r="AT413" s="137"/>
      <c r="AU413" s="67"/>
      <c r="AV413" s="44"/>
      <c r="AW413" s="67"/>
      <c r="AX413" s="75"/>
      <c r="AY413" s="123"/>
      <c r="AZ413" s="67"/>
      <c r="BA413" s="138"/>
      <c r="BB413" s="67"/>
      <c r="BC413" s="67"/>
      <c r="BD413" s="67"/>
      <c r="BE413" s="67"/>
      <c r="BF413" s="67"/>
      <c r="BG413" s="67"/>
      <c r="BH413" s="67"/>
      <c r="BI413" s="67"/>
      <c r="BJ413" s="67"/>
      <c r="BK413" s="67"/>
      <c r="BL413" s="67"/>
      <c r="BM413" s="70"/>
      <c r="BN413" s="70"/>
      <c r="BO413" s="70"/>
      <c r="BP413" s="70"/>
      <c r="BQ413" s="70"/>
      <c r="BR413" s="70"/>
      <c r="BS413" s="70"/>
      <c r="BT413" s="70"/>
      <c r="BU413" s="70"/>
      <c r="BV413" s="70"/>
      <c r="BW413" s="70"/>
      <c r="BX413" s="136"/>
      <c r="BY413" s="70"/>
      <c r="BZ413" s="67"/>
      <c r="CA413" s="67"/>
      <c r="CB413" s="67"/>
    </row>
    <row r="414" spans="1:80" s="28" customFormat="1" ht="16" customHeight="1">
      <c r="A414" s="39"/>
      <c r="B414" s="57"/>
      <c r="C414" s="67"/>
      <c r="D414" s="67"/>
      <c r="E414" s="39"/>
      <c r="F414" s="39"/>
      <c r="G414" s="39"/>
      <c r="H414" s="67"/>
      <c r="I414" s="60"/>
      <c r="J414" s="60"/>
      <c r="K414" s="60"/>
      <c r="L414" s="60"/>
      <c r="M414" s="60"/>
      <c r="N414" s="60"/>
      <c r="O414" s="60"/>
      <c r="P414" s="60"/>
      <c r="Q414" s="60"/>
      <c r="R414" s="60"/>
      <c r="S414" s="70"/>
      <c r="T414" s="70"/>
      <c r="U414" s="70"/>
      <c r="V414" s="70"/>
      <c r="W414" s="70"/>
      <c r="X414" s="70"/>
      <c r="Y414" s="70"/>
      <c r="Z414" s="70"/>
      <c r="AA414" s="70"/>
      <c r="AB414" s="70"/>
      <c r="AC414" s="70"/>
      <c r="AD414" s="136"/>
      <c r="AE414" s="24"/>
      <c r="AF414" s="24"/>
      <c r="AG414" s="73"/>
      <c r="AH414" s="125"/>
      <c r="AI414" s="103"/>
      <c r="AK414" s="113"/>
      <c r="AL414" s="113"/>
      <c r="AM414" s="113"/>
      <c r="AN414" s="113"/>
      <c r="AO414" s="137"/>
      <c r="AP414" s="137"/>
      <c r="AQ414" s="137"/>
      <c r="AR414" s="137"/>
      <c r="AS414" s="137"/>
      <c r="AT414" s="137"/>
      <c r="AU414" s="67"/>
      <c r="AV414" s="44"/>
      <c r="AW414" s="67"/>
      <c r="AX414" s="75"/>
      <c r="AY414" s="123"/>
      <c r="AZ414" s="67"/>
      <c r="BA414" s="138"/>
      <c r="BB414" s="67"/>
      <c r="BC414" s="67"/>
      <c r="BD414" s="67"/>
      <c r="BE414" s="67"/>
      <c r="BF414" s="67"/>
      <c r="BG414" s="67"/>
      <c r="BH414" s="67"/>
      <c r="BI414" s="67"/>
      <c r="BJ414" s="67"/>
      <c r="BK414" s="67"/>
      <c r="BL414" s="67"/>
      <c r="BM414" s="70"/>
      <c r="BN414" s="70"/>
      <c r="BO414" s="70"/>
      <c r="BP414" s="70"/>
      <c r="BQ414" s="70"/>
      <c r="BR414" s="70"/>
      <c r="BS414" s="70"/>
      <c r="BT414" s="70"/>
      <c r="BU414" s="70"/>
      <c r="BV414" s="70"/>
      <c r="BW414" s="70"/>
      <c r="BX414" s="136"/>
      <c r="BY414" s="70"/>
      <c r="BZ414" s="67"/>
      <c r="CA414" s="67"/>
      <c r="CB414" s="67"/>
    </row>
    <row r="415" spans="1:80" s="28" customFormat="1" ht="16" customHeight="1">
      <c r="A415" s="39"/>
      <c r="B415" s="57"/>
      <c r="C415" s="67"/>
      <c r="D415" s="67"/>
      <c r="E415" s="39"/>
      <c r="F415" s="39"/>
      <c r="G415" s="39"/>
      <c r="H415" s="67"/>
      <c r="I415" s="60"/>
      <c r="J415" s="60"/>
      <c r="K415" s="60"/>
      <c r="L415" s="60"/>
      <c r="M415" s="60"/>
      <c r="N415" s="60"/>
      <c r="O415" s="60"/>
      <c r="P415" s="60"/>
      <c r="Q415" s="60"/>
      <c r="R415" s="60"/>
      <c r="S415" s="70"/>
      <c r="T415" s="70"/>
      <c r="U415" s="70"/>
      <c r="V415" s="70"/>
      <c r="W415" s="70"/>
      <c r="X415" s="70"/>
      <c r="Y415" s="70"/>
      <c r="Z415" s="70"/>
      <c r="AA415" s="70"/>
      <c r="AB415" s="70"/>
      <c r="AC415" s="70"/>
      <c r="AD415" s="136"/>
      <c r="AE415" s="24"/>
      <c r="AF415" s="24"/>
      <c r="AG415" s="73"/>
      <c r="AH415" s="125"/>
      <c r="AI415" s="103"/>
      <c r="AK415" s="113"/>
      <c r="AL415" s="113"/>
      <c r="AM415" s="113"/>
      <c r="AN415" s="113"/>
      <c r="AO415" s="137"/>
      <c r="AP415" s="137"/>
      <c r="AQ415" s="137"/>
      <c r="AR415" s="137"/>
      <c r="AS415" s="137"/>
      <c r="AT415" s="137"/>
      <c r="AU415" s="67"/>
      <c r="AV415" s="44"/>
      <c r="AW415" s="67"/>
      <c r="AX415" s="75"/>
      <c r="AY415" s="123"/>
      <c r="AZ415" s="67"/>
      <c r="BA415" s="138"/>
      <c r="BB415" s="67"/>
      <c r="BC415" s="67"/>
      <c r="BD415" s="67"/>
      <c r="BE415" s="67"/>
      <c r="BF415" s="67"/>
      <c r="BG415" s="67"/>
      <c r="BH415" s="67"/>
      <c r="BI415" s="67"/>
      <c r="BJ415" s="67"/>
      <c r="BK415" s="67"/>
      <c r="BL415" s="67"/>
      <c r="BM415" s="70"/>
      <c r="BN415" s="70"/>
      <c r="BO415" s="70"/>
      <c r="BP415" s="70"/>
      <c r="BQ415" s="70"/>
      <c r="BR415" s="70"/>
      <c r="BS415" s="70"/>
      <c r="BT415" s="70"/>
      <c r="BU415" s="70"/>
      <c r="BV415" s="70"/>
      <c r="BW415" s="70"/>
      <c r="BX415" s="136"/>
      <c r="BY415" s="70"/>
      <c r="BZ415" s="67"/>
      <c r="CA415" s="67"/>
      <c r="CB415" s="67"/>
    </row>
    <row r="416" spans="1:80" s="28" customFormat="1" ht="16" customHeight="1">
      <c r="A416" s="39"/>
      <c r="B416" s="57"/>
      <c r="C416" s="67"/>
      <c r="D416" s="67"/>
      <c r="E416" s="39"/>
      <c r="F416" s="39"/>
      <c r="G416" s="39"/>
      <c r="H416" s="67"/>
      <c r="I416" s="60"/>
      <c r="J416" s="60"/>
      <c r="K416" s="60"/>
      <c r="L416" s="60"/>
      <c r="M416" s="60"/>
      <c r="N416" s="60"/>
      <c r="O416" s="60"/>
      <c r="P416" s="60"/>
      <c r="Q416" s="60"/>
      <c r="R416" s="60"/>
      <c r="S416" s="70"/>
      <c r="T416" s="70"/>
      <c r="U416" s="70"/>
      <c r="V416" s="70"/>
      <c r="W416" s="70"/>
      <c r="X416" s="70"/>
      <c r="Y416" s="70"/>
      <c r="Z416" s="70"/>
      <c r="AA416" s="70"/>
      <c r="AB416" s="70"/>
      <c r="AC416" s="70"/>
      <c r="AD416" s="136"/>
      <c r="AE416" s="24"/>
      <c r="AF416" s="24"/>
      <c r="AG416" s="73"/>
      <c r="AH416" s="125"/>
      <c r="AI416" s="103"/>
      <c r="AK416" s="113"/>
      <c r="AL416" s="113"/>
      <c r="AM416" s="113"/>
      <c r="AN416" s="113"/>
      <c r="AO416" s="137"/>
      <c r="AP416" s="137"/>
      <c r="AQ416" s="137"/>
      <c r="AR416" s="137"/>
      <c r="AS416" s="137"/>
      <c r="AT416" s="137"/>
      <c r="AU416" s="67"/>
      <c r="AV416" s="44"/>
      <c r="AW416" s="67"/>
      <c r="AX416" s="75"/>
      <c r="AY416" s="123"/>
      <c r="AZ416" s="67"/>
      <c r="BA416" s="138"/>
      <c r="BB416" s="67"/>
      <c r="BC416" s="67"/>
      <c r="BD416" s="67"/>
      <c r="BE416" s="67"/>
      <c r="BF416" s="67"/>
      <c r="BG416" s="67"/>
      <c r="BH416" s="67"/>
      <c r="BI416" s="67"/>
      <c r="BJ416" s="67"/>
      <c r="BK416" s="67"/>
      <c r="BL416" s="67"/>
      <c r="BM416" s="70"/>
      <c r="BN416" s="70"/>
      <c r="BO416" s="70"/>
      <c r="BP416" s="70"/>
      <c r="BQ416" s="70"/>
      <c r="BR416" s="70"/>
      <c r="BS416" s="70"/>
      <c r="BT416" s="70"/>
      <c r="BU416" s="70"/>
      <c r="BV416" s="70"/>
      <c r="BW416" s="70"/>
      <c r="BX416" s="136"/>
      <c r="BY416" s="70"/>
      <c r="BZ416" s="67"/>
      <c r="CA416" s="67"/>
      <c r="CB416" s="67"/>
    </row>
    <row r="417" spans="1:80" s="28" customFormat="1" ht="16" customHeight="1">
      <c r="A417" s="39"/>
      <c r="B417" s="57"/>
      <c r="C417" s="67"/>
      <c r="D417" s="67"/>
      <c r="E417" s="39"/>
      <c r="F417" s="39"/>
      <c r="G417" s="39"/>
      <c r="H417" s="67"/>
      <c r="I417" s="60"/>
      <c r="J417" s="60"/>
      <c r="K417" s="60"/>
      <c r="L417" s="60"/>
      <c r="M417" s="60"/>
      <c r="N417" s="60"/>
      <c r="O417" s="60"/>
      <c r="P417" s="60"/>
      <c r="Q417" s="60"/>
      <c r="R417" s="60"/>
      <c r="S417" s="70"/>
      <c r="T417" s="70"/>
      <c r="U417" s="70"/>
      <c r="V417" s="70"/>
      <c r="W417" s="70"/>
      <c r="X417" s="70"/>
      <c r="Y417" s="70"/>
      <c r="Z417" s="70"/>
      <c r="AA417" s="70"/>
      <c r="AB417" s="70"/>
      <c r="AC417" s="70"/>
      <c r="AD417" s="136"/>
      <c r="AE417" s="24"/>
      <c r="AF417" s="24"/>
      <c r="AG417" s="73"/>
      <c r="AH417" s="125"/>
      <c r="AI417" s="103"/>
      <c r="AK417" s="113"/>
      <c r="AL417" s="113"/>
      <c r="AM417" s="113"/>
      <c r="AN417" s="113"/>
      <c r="AO417" s="137"/>
      <c r="AP417" s="137"/>
      <c r="AQ417" s="137"/>
      <c r="AR417" s="137"/>
      <c r="AS417" s="137"/>
      <c r="AT417" s="137"/>
      <c r="AU417" s="67"/>
      <c r="AV417" s="44"/>
      <c r="AW417" s="67"/>
      <c r="AX417" s="75"/>
      <c r="AY417" s="123"/>
      <c r="AZ417" s="67"/>
      <c r="BA417" s="138"/>
      <c r="BB417" s="67"/>
      <c r="BC417" s="67"/>
      <c r="BD417" s="67"/>
      <c r="BE417" s="67"/>
      <c r="BF417" s="67"/>
      <c r="BG417" s="67"/>
      <c r="BH417" s="67"/>
      <c r="BI417" s="67"/>
      <c r="BJ417" s="67"/>
      <c r="BK417" s="67"/>
      <c r="BL417" s="67"/>
      <c r="BM417" s="70"/>
      <c r="BN417" s="70"/>
      <c r="BO417" s="70"/>
      <c r="BP417" s="70"/>
      <c r="BQ417" s="70"/>
      <c r="BR417" s="70"/>
      <c r="BS417" s="70"/>
      <c r="BT417" s="70"/>
      <c r="BU417" s="70"/>
      <c r="BV417" s="70"/>
      <c r="BW417" s="70"/>
      <c r="BX417" s="136"/>
      <c r="BY417" s="70"/>
      <c r="BZ417" s="67"/>
      <c r="CA417" s="67"/>
      <c r="CB417" s="67"/>
    </row>
    <row r="418" spans="1:80" s="28" customFormat="1" ht="16" customHeight="1">
      <c r="A418" s="39"/>
      <c r="B418" s="57"/>
      <c r="C418" s="67"/>
      <c r="D418" s="67"/>
      <c r="E418" s="39"/>
      <c r="F418" s="39"/>
      <c r="G418" s="39"/>
      <c r="H418" s="67"/>
      <c r="I418" s="60"/>
      <c r="J418" s="60"/>
      <c r="K418" s="60"/>
      <c r="L418" s="60"/>
      <c r="M418" s="60"/>
      <c r="N418" s="60"/>
      <c r="O418" s="60"/>
      <c r="P418" s="60"/>
      <c r="Q418" s="60"/>
      <c r="R418" s="60"/>
      <c r="S418" s="70"/>
      <c r="T418" s="70"/>
      <c r="U418" s="70"/>
      <c r="V418" s="70"/>
      <c r="W418" s="70"/>
      <c r="X418" s="70"/>
      <c r="Y418" s="70"/>
      <c r="Z418" s="70"/>
      <c r="AA418" s="70"/>
      <c r="AB418" s="70"/>
      <c r="AC418" s="70"/>
      <c r="AD418" s="136"/>
      <c r="AE418" s="24"/>
      <c r="AF418" s="24"/>
      <c r="AG418" s="73"/>
      <c r="AH418" s="125"/>
      <c r="AI418" s="103"/>
      <c r="AK418" s="113"/>
      <c r="AL418" s="113"/>
      <c r="AM418" s="113"/>
      <c r="AN418" s="113"/>
      <c r="AO418" s="137"/>
      <c r="AP418" s="137"/>
      <c r="AQ418" s="137"/>
      <c r="AR418" s="137"/>
      <c r="AS418" s="137"/>
      <c r="AT418" s="137"/>
      <c r="AU418" s="67"/>
      <c r="AV418" s="44"/>
      <c r="AW418" s="67"/>
      <c r="AX418" s="75"/>
      <c r="AY418" s="123"/>
      <c r="AZ418" s="67"/>
      <c r="BA418" s="138"/>
      <c r="BB418" s="67"/>
      <c r="BC418" s="67"/>
      <c r="BD418" s="67"/>
      <c r="BE418" s="67"/>
      <c r="BF418" s="67"/>
      <c r="BG418" s="67"/>
      <c r="BH418" s="67"/>
      <c r="BI418" s="67"/>
      <c r="BJ418" s="67"/>
      <c r="BK418" s="67"/>
      <c r="BL418" s="67"/>
      <c r="BM418" s="70"/>
      <c r="BN418" s="70"/>
      <c r="BO418" s="70"/>
      <c r="BP418" s="70"/>
      <c r="BQ418" s="70"/>
      <c r="BR418" s="70"/>
      <c r="BS418" s="70"/>
      <c r="BT418" s="70"/>
      <c r="BU418" s="70"/>
      <c r="BV418" s="70"/>
      <c r="BW418" s="70"/>
      <c r="BX418" s="136"/>
      <c r="BY418" s="70"/>
      <c r="BZ418" s="67"/>
      <c r="CA418" s="67"/>
      <c r="CB418" s="67"/>
    </row>
    <row r="419" spans="1:80" s="28" customFormat="1" ht="16" customHeight="1">
      <c r="A419" s="39"/>
      <c r="B419" s="57"/>
      <c r="C419" s="67"/>
      <c r="D419" s="67"/>
      <c r="E419" s="39"/>
      <c r="F419" s="39"/>
      <c r="G419" s="39"/>
      <c r="H419" s="67"/>
      <c r="I419" s="60"/>
      <c r="J419" s="60"/>
      <c r="K419" s="60"/>
      <c r="L419" s="60"/>
      <c r="M419" s="60"/>
      <c r="N419" s="60"/>
      <c r="O419" s="60"/>
      <c r="P419" s="60"/>
      <c r="Q419" s="60"/>
      <c r="R419" s="60"/>
      <c r="S419" s="70"/>
      <c r="T419" s="70"/>
      <c r="U419" s="70"/>
      <c r="V419" s="70"/>
      <c r="W419" s="70"/>
      <c r="X419" s="70"/>
      <c r="Y419" s="70"/>
      <c r="Z419" s="70"/>
      <c r="AA419" s="70"/>
      <c r="AB419" s="70"/>
      <c r="AC419" s="70"/>
      <c r="AD419" s="136"/>
      <c r="AE419" s="24"/>
      <c r="AF419" s="24"/>
      <c r="AG419" s="73"/>
      <c r="AH419" s="125"/>
      <c r="AI419" s="103"/>
      <c r="AK419" s="113"/>
      <c r="AL419" s="113"/>
      <c r="AM419" s="113"/>
      <c r="AN419" s="113"/>
      <c r="AO419" s="137"/>
      <c r="AP419" s="137"/>
      <c r="AQ419" s="137"/>
      <c r="AR419" s="137"/>
      <c r="AS419" s="137"/>
      <c r="AT419" s="137"/>
      <c r="AU419" s="67"/>
      <c r="AV419" s="44"/>
      <c r="AW419" s="67"/>
      <c r="AX419" s="75"/>
      <c r="AY419" s="123"/>
      <c r="AZ419" s="67"/>
      <c r="BA419" s="138"/>
      <c r="BB419" s="67"/>
      <c r="BC419" s="67"/>
      <c r="BD419" s="67"/>
      <c r="BE419" s="67"/>
      <c r="BF419" s="67"/>
      <c r="BG419" s="67"/>
      <c r="BH419" s="67"/>
      <c r="BI419" s="67"/>
      <c r="BJ419" s="67"/>
      <c r="BK419" s="67"/>
      <c r="BL419" s="67"/>
      <c r="BM419" s="70"/>
      <c r="BN419" s="70"/>
      <c r="BO419" s="70"/>
      <c r="BP419" s="70"/>
      <c r="BQ419" s="70"/>
      <c r="BR419" s="70"/>
      <c r="BS419" s="70"/>
      <c r="BT419" s="70"/>
      <c r="BU419" s="70"/>
      <c r="BV419" s="70"/>
      <c r="BW419" s="70"/>
      <c r="BX419" s="136"/>
      <c r="BY419" s="70"/>
      <c r="BZ419" s="67"/>
      <c r="CA419" s="67"/>
      <c r="CB419" s="67"/>
    </row>
    <row r="420" spans="1:80" s="28" customFormat="1" ht="16" customHeight="1">
      <c r="A420" s="39"/>
      <c r="B420" s="57"/>
      <c r="C420" s="67"/>
      <c r="D420" s="67"/>
      <c r="E420" s="39"/>
      <c r="F420" s="39"/>
      <c r="G420" s="39"/>
      <c r="H420" s="67"/>
      <c r="I420" s="60"/>
      <c r="J420" s="60"/>
      <c r="K420" s="60"/>
      <c r="L420" s="60"/>
      <c r="M420" s="60"/>
      <c r="N420" s="60"/>
      <c r="O420" s="60"/>
      <c r="P420" s="60"/>
      <c r="Q420" s="60"/>
      <c r="R420" s="60"/>
      <c r="S420" s="70"/>
      <c r="T420" s="70"/>
      <c r="U420" s="70"/>
      <c r="V420" s="70"/>
      <c r="W420" s="70"/>
      <c r="X420" s="70"/>
      <c r="Y420" s="70"/>
      <c r="Z420" s="70"/>
      <c r="AA420" s="70"/>
      <c r="AB420" s="70"/>
      <c r="AC420" s="70"/>
      <c r="AD420" s="136"/>
      <c r="AE420" s="24"/>
      <c r="AF420" s="24"/>
      <c r="AG420" s="73"/>
      <c r="AH420" s="125"/>
      <c r="AI420" s="103"/>
      <c r="AK420" s="113"/>
      <c r="AL420" s="113"/>
      <c r="AM420" s="113"/>
      <c r="AN420" s="113"/>
      <c r="AO420" s="137"/>
      <c r="AP420" s="137"/>
      <c r="AQ420" s="137"/>
      <c r="AR420" s="137"/>
      <c r="AS420" s="137"/>
      <c r="AT420" s="137"/>
      <c r="AU420" s="67"/>
      <c r="AV420" s="44"/>
      <c r="AW420" s="67"/>
      <c r="AX420" s="75"/>
      <c r="AY420" s="123"/>
      <c r="AZ420" s="67"/>
      <c r="BA420" s="138"/>
      <c r="BB420" s="67"/>
      <c r="BC420" s="67"/>
      <c r="BD420" s="67"/>
      <c r="BE420" s="67"/>
      <c r="BF420" s="67"/>
      <c r="BG420" s="67"/>
      <c r="BH420" s="67"/>
      <c r="BI420" s="67"/>
      <c r="BJ420" s="67"/>
      <c r="BK420" s="67"/>
      <c r="BL420" s="67"/>
      <c r="BM420" s="70"/>
      <c r="BN420" s="70"/>
      <c r="BO420" s="70"/>
      <c r="BP420" s="70"/>
      <c r="BQ420" s="70"/>
      <c r="BR420" s="70"/>
      <c r="BS420" s="70"/>
      <c r="BT420" s="70"/>
      <c r="BU420" s="70"/>
      <c r="BV420" s="70"/>
      <c r="BW420" s="70"/>
      <c r="BX420" s="136"/>
      <c r="BY420" s="70"/>
      <c r="BZ420" s="67"/>
      <c r="CA420" s="67"/>
      <c r="CB420" s="67"/>
    </row>
    <row r="421" spans="1:80" s="28" customFormat="1" ht="16" customHeight="1">
      <c r="A421" s="39"/>
      <c r="B421" s="57"/>
      <c r="C421" s="67"/>
      <c r="D421" s="67"/>
      <c r="E421" s="39"/>
      <c r="F421" s="39"/>
      <c r="G421" s="39"/>
      <c r="H421" s="67"/>
      <c r="I421" s="60"/>
      <c r="J421" s="60"/>
      <c r="K421" s="60"/>
      <c r="L421" s="60"/>
      <c r="M421" s="60"/>
      <c r="N421" s="60"/>
      <c r="O421" s="60"/>
      <c r="P421" s="60"/>
      <c r="Q421" s="60"/>
      <c r="R421" s="60"/>
      <c r="S421" s="70"/>
      <c r="T421" s="70"/>
      <c r="U421" s="70"/>
      <c r="V421" s="70"/>
      <c r="W421" s="70"/>
      <c r="X421" s="70"/>
      <c r="Y421" s="70"/>
      <c r="Z421" s="70"/>
      <c r="AA421" s="70"/>
      <c r="AB421" s="70"/>
      <c r="AC421" s="70"/>
      <c r="AD421" s="136"/>
      <c r="AE421" s="24"/>
      <c r="AF421" s="24"/>
      <c r="AG421" s="73"/>
      <c r="AH421" s="125"/>
      <c r="AI421" s="103"/>
      <c r="AK421" s="113"/>
      <c r="AL421" s="113"/>
      <c r="AM421" s="113"/>
      <c r="AN421" s="113"/>
      <c r="AO421" s="137"/>
      <c r="AP421" s="137"/>
      <c r="AQ421" s="137"/>
      <c r="AR421" s="137"/>
      <c r="AS421" s="137"/>
      <c r="AT421" s="137"/>
      <c r="AU421" s="67"/>
      <c r="AV421" s="44"/>
      <c r="AW421" s="67"/>
      <c r="AX421" s="75"/>
      <c r="AY421" s="123"/>
      <c r="AZ421" s="67"/>
      <c r="BA421" s="138"/>
      <c r="BB421" s="67"/>
      <c r="BC421" s="67"/>
      <c r="BD421" s="67"/>
      <c r="BE421" s="67"/>
      <c r="BF421" s="67"/>
      <c r="BG421" s="67"/>
      <c r="BH421" s="67"/>
      <c r="BI421" s="67"/>
      <c r="BJ421" s="67"/>
      <c r="BK421" s="67"/>
      <c r="BL421" s="67"/>
      <c r="BM421" s="70"/>
      <c r="BN421" s="70"/>
      <c r="BO421" s="70"/>
      <c r="BP421" s="70"/>
      <c r="BQ421" s="70"/>
      <c r="BR421" s="70"/>
      <c r="BS421" s="70"/>
      <c r="BT421" s="70"/>
      <c r="BU421" s="70"/>
      <c r="BV421" s="70"/>
      <c r="BW421" s="70"/>
      <c r="BX421" s="136"/>
      <c r="BY421" s="70"/>
      <c r="BZ421" s="67"/>
      <c r="CA421" s="67"/>
      <c r="CB421" s="67"/>
    </row>
    <row r="422" spans="1:80" s="28" customFormat="1" ht="16" customHeight="1">
      <c r="A422" s="39"/>
      <c r="B422" s="57"/>
      <c r="C422" s="67"/>
      <c r="D422" s="67"/>
      <c r="E422" s="39"/>
      <c r="F422" s="39"/>
      <c r="G422" s="39"/>
      <c r="H422" s="67"/>
      <c r="I422" s="60"/>
      <c r="J422" s="60"/>
      <c r="K422" s="60"/>
      <c r="L422" s="60"/>
      <c r="M422" s="60"/>
      <c r="N422" s="60"/>
      <c r="O422" s="60"/>
      <c r="P422" s="60"/>
      <c r="Q422" s="60"/>
      <c r="R422" s="60"/>
      <c r="S422" s="70"/>
      <c r="T422" s="70"/>
      <c r="U422" s="70"/>
      <c r="V422" s="70"/>
      <c r="W422" s="70"/>
      <c r="X422" s="70"/>
      <c r="Y422" s="70"/>
      <c r="Z422" s="70"/>
      <c r="AA422" s="70"/>
      <c r="AB422" s="70"/>
      <c r="AC422" s="70"/>
      <c r="AD422" s="136"/>
      <c r="AE422" s="24"/>
      <c r="AF422" s="24"/>
      <c r="AG422" s="73"/>
      <c r="AH422" s="125"/>
      <c r="AI422" s="103"/>
      <c r="AK422" s="113"/>
      <c r="AL422" s="113"/>
      <c r="AM422" s="113"/>
      <c r="AN422" s="113"/>
      <c r="AO422" s="137"/>
      <c r="AP422" s="137"/>
      <c r="AQ422" s="137"/>
      <c r="AR422" s="137"/>
      <c r="AS422" s="137"/>
      <c r="AT422" s="137"/>
      <c r="AU422" s="67"/>
      <c r="AV422" s="44"/>
      <c r="AW422" s="67"/>
      <c r="AX422" s="75"/>
      <c r="AY422" s="123"/>
      <c r="AZ422" s="67"/>
      <c r="BA422" s="138"/>
      <c r="BB422" s="67"/>
      <c r="BC422" s="67"/>
      <c r="BD422" s="67"/>
      <c r="BE422" s="67"/>
      <c r="BF422" s="67"/>
      <c r="BG422" s="67"/>
      <c r="BH422" s="67"/>
      <c r="BI422" s="67"/>
      <c r="BJ422" s="67"/>
      <c r="BK422" s="67"/>
      <c r="BL422" s="67"/>
      <c r="BM422" s="70"/>
      <c r="BN422" s="70"/>
      <c r="BO422" s="70"/>
      <c r="BP422" s="70"/>
      <c r="BQ422" s="70"/>
      <c r="BR422" s="70"/>
      <c r="BS422" s="70"/>
      <c r="BT422" s="70"/>
      <c r="BU422" s="70"/>
      <c r="BV422" s="70"/>
      <c r="BW422" s="70"/>
      <c r="BX422" s="136"/>
      <c r="BY422" s="70"/>
      <c r="BZ422" s="67"/>
      <c r="CA422" s="67"/>
      <c r="CB422" s="67"/>
    </row>
    <row r="423" spans="1:80" s="28" customFormat="1" ht="16" customHeight="1">
      <c r="A423" s="39"/>
      <c r="B423" s="57"/>
      <c r="C423" s="67"/>
      <c r="D423" s="67"/>
      <c r="E423" s="39"/>
      <c r="F423" s="39"/>
      <c r="G423" s="39"/>
      <c r="H423" s="67"/>
      <c r="I423" s="60"/>
      <c r="J423" s="60"/>
      <c r="K423" s="60"/>
      <c r="L423" s="60"/>
      <c r="M423" s="60"/>
      <c r="N423" s="60"/>
      <c r="O423" s="60"/>
      <c r="P423" s="60"/>
      <c r="Q423" s="60"/>
      <c r="R423" s="60"/>
      <c r="S423" s="70"/>
      <c r="T423" s="70"/>
      <c r="U423" s="70"/>
      <c r="V423" s="70"/>
      <c r="W423" s="70"/>
      <c r="X423" s="70"/>
      <c r="Y423" s="70"/>
      <c r="Z423" s="70"/>
      <c r="AA423" s="70"/>
      <c r="AB423" s="70"/>
      <c r="AC423" s="70"/>
      <c r="AD423" s="136"/>
      <c r="AE423" s="24"/>
      <c r="AF423" s="24"/>
      <c r="AG423" s="73"/>
      <c r="AH423" s="125"/>
      <c r="AI423" s="103"/>
      <c r="AK423" s="113"/>
      <c r="AL423" s="113"/>
      <c r="AM423" s="113"/>
      <c r="AN423" s="113"/>
      <c r="AO423" s="137"/>
      <c r="AP423" s="137"/>
      <c r="AQ423" s="137"/>
      <c r="AR423" s="137"/>
      <c r="AS423" s="137"/>
      <c r="AT423" s="137"/>
      <c r="AU423" s="67"/>
      <c r="AV423" s="44"/>
      <c r="AW423" s="67"/>
      <c r="AX423" s="75"/>
      <c r="AY423" s="123"/>
      <c r="AZ423" s="67"/>
      <c r="BA423" s="138"/>
      <c r="BB423" s="67"/>
      <c r="BC423" s="67"/>
      <c r="BD423" s="67"/>
      <c r="BE423" s="67"/>
      <c r="BF423" s="67"/>
      <c r="BG423" s="67"/>
      <c r="BH423" s="67"/>
      <c r="BI423" s="67"/>
      <c r="BJ423" s="67"/>
      <c r="BK423" s="67"/>
      <c r="BL423" s="67"/>
      <c r="BM423" s="70"/>
      <c r="BN423" s="70"/>
      <c r="BO423" s="70"/>
      <c r="BP423" s="70"/>
      <c r="BQ423" s="70"/>
      <c r="BR423" s="70"/>
      <c r="BS423" s="70"/>
      <c r="BT423" s="70"/>
      <c r="BU423" s="70"/>
      <c r="BV423" s="70"/>
      <c r="BW423" s="70"/>
      <c r="BX423" s="136"/>
      <c r="BY423" s="70"/>
      <c r="BZ423" s="67"/>
      <c r="CA423" s="67"/>
      <c r="CB423" s="67"/>
    </row>
    <row r="424" spans="1:80" s="28" customFormat="1" ht="16" customHeight="1">
      <c r="A424" s="39"/>
      <c r="B424" s="57"/>
      <c r="C424" s="67"/>
      <c r="D424" s="67"/>
      <c r="E424" s="39"/>
      <c r="F424" s="39"/>
      <c r="G424" s="39"/>
      <c r="H424" s="67"/>
      <c r="I424" s="60"/>
      <c r="J424" s="60"/>
      <c r="K424" s="60"/>
      <c r="L424" s="60"/>
      <c r="M424" s="60"/>
      <c r="N424" s="60"/>
      <c r="O424" s="60"/>
      <c r="P424" s="60"/>
      <c r="Q424" s="60"/>
      <c r="R424" s="60"/>
      <c r="S424" s="70"/>
      <c r="T424" s="70"/>
      <c r="U424" s="70"/>
      <c r="V424" s="70"/>
      <c r="W424" s="70"/>
      <c r="X424" s="70"/>
      <c r="Y424" s="70"/>
      <c r="Z424" s="70"/>
      <c r="AA424" s="70"/>
      <c r="AB424" s="70"/>
      <c r="AC424" s="70"/>
      <c r="AD424" s="136"/>
      <c r="AE424" s="24"/>
      <c r="AF424" s="24"/>
      <c r="AG424" s="73"/>
      <c r="AH424" s="125"/>
      <c r="AI424" s="103"/>
      <c r="AK424" s="113"/>
      <c r="AL424" s="113"/>
      <c r="AM424" s="113"/>
      <c r="AN424" s="113"/>
      <c r="AO424" s="137"/>
      <c r="AP424" s="137"/>
      <c r="AQ424" s="137"/>
      <c r="AR424" s="137"/>
      <c r="AS424" s="137"/>
      <c r="AT424" s="137"/>
      <c r="AU424" s="67"/>
      <c r="AV424" s="44"/>
      <c r="AW424" s="67"/>
      <c r="AX424" s="75"/>
      <c r="AY424" s="123"/>
      <c r="AZ424" s="67"/>
      <c r="BA424" s="138"/>
      <c r="BB424" s="67"/>
      <c r="BC424" s="67"/>
      <c r="BD424" s="67"/>
      <c r="BE424" s="67"/>
      <c r="BF424" s="67"/>
      <c r="BG424" s="67"/>
      <c r="BH424" s="67"/>
      <c r="BI424" s="67"/>
      <c r="BJ424" s="67"/>
      <c r="BK424" s="67"/>
      <c r="BL424" s="67"/>
      <c r="BM424" s="70"/>
      <c r="BN424" s="70"/>
      <c r="BO424" s="70"/>
      <c r="BP424" s="70"/>
      <c r="BQ424" s="70"/>
      <c r="BR424" s="70"/>
      <c r="BS424" s="70"/>
      <c r="BT424" s="70"/>
      <c r="BU424" s="70"/>
      <c r="BV424" s="70"/>
      <c r="BW424" s="70"/>
      <c r="BX424" s="136"/>
      <c r="BY424" s="70"/>
      <c r="BZ424" s="67"/>
      <c r="CA424" s="67"/>
      <c r="CB424" s="67"/>
    </row>
    <row r="425" spans="1:80" s="28" customFormat="1" ht="16" customHeight="1">
      <c r="A425" s="39"/>
      <c r="B425" s="57"/>
      <c r="C425" s="67"/>
      <c r="D425" s="67"/>
      <c r="E425" s="39"/>
      <c r="F425" s="39"/>
      <c r="G425" s="39"/>
      <c r="H425" s="67"/>
      <c r="I425" s="60"/>
      <c r="J425" s="60"/>
      <c r="K425" s="60"/>
      <c r="L425" s="60"/>
      <c r="M425" s="60"/>
      <c r="N425" s="60"/>
      <c r="O425" s="60"/>
      <c r="P425" s="60"/>
      <c r="Q425" s="60"/>
      <c r="R425" s="60"/>
      <c r="S425" s="70"/>
      <c r="T425" s="70"/>
      <c r="U425" s="70"/>
      <c r="V425" s="70"/>
      <c r="W425" s="70"/>
      <c r="X425" s="70"/>
      <c r="Y425" s="70"/>
      <c r="Z425" s="70"/>
      <c r="AA425" s="70"/>
      <c r="AB425" s="70"/>
      <c r="AC425" s="70"/>
      <c r="AD425" s="136"/>
      <c r="AE425" s="24"/>
      <c r="AF425" s="24"/>
      <c r="AG425" s="73"/>
      <c r="AH425" s="125"/>
      <c r="AI425" s="103"/>
      <c r="AK425" s="113"/>
      <c r="AL425" s="113"/>
      <c r="AM425" s="113"/>
      <c r="AN425" s="113"/>
      <c r="AO425" s="137"/>
      <c r="AP425" s="137"/>
      <c r="AQ425" s="137"/>
      <c r="AR425" s="137"/>
      <c r="AS425" s="137"/>
      <c r="AT425" s="137"/>
      <c r="AU425" s="67"/>
      <c r="AV425" s="44"/>
      <c r="AW425" s="67"/>
      <c r="AX425" s="75"/>
      <c r="AY425" s="123"/>
      <c r="AZ425" s="67"/>
      <c r="BA425" s="138"/>
      <c r="BB425" s="67"/>
      <c r="BC425" s="67"/>
      <c r="BD425" s="67"/>
      <c r="BE425" s="67"/>
      <c r="BF425" s="67"/>
      <c r="BG425" s="67"/>
      <c r="BH425" s="67"/>
      <c r="BI425" s="67"/>
      <c r="BJ425" s="67"/>
      <c r="BK425" s="67"/>
      <c r="BL425" s="67"/>
      <c r="BM425" s="70"/>
      <c r="BN425" s="70"/>
      <c r="BO425" s="70"/>
      <c r="BP425" s="70"/>
      <c r="BQ425" s="70"/>
      <c r="BR425" s="70"/>
      <c r="BS425" s="70"/>
      <c r="BT425" s="70"/>
      <c r="BU425" s="70"/>
      <c r="BV425" s="70"/>
      <c r="BW425" s="70"/>
      <c r="BX425" s="136"/>
      <c r="BY425" s="70"/>
      <c r="BZ425" s="67"/>
      <c r="CA425" s="67"/>
      <c r="CB425" s="67"/>
    </row>
    <row r="426" spans="1:80" s="28" customFormat="1" ht="16" customHeight="1">
      <c r="A426" s="39"/>
      <c r="B426" s="57"/>
      <c r="C426" s="67"/>
      <c r="D426" s="67"/>
      <c r="E426" s="39"/>
      <c r="F426" s="39"/>
      <c r="G426" s="39"/>
      <c r="H426" s="67"/>
      <c r="I426" s="60"/>
      <c r="J426" s="60"/>
      <c r="K426" s="60"/>
      <c r="L426" s="60"/>
      <c r="M426" s="60"/>
      <c r="N426" s="60"/>
      <c r="O426" s="60"/>
      <c r="P426" s="60"/>
      <c r="Q426" s="60"/>
      <c r="R426" s="60"/>
      <c r="S426" s="70"/>
      <c r="T426" s="70"/>
      <c r="U426" s="70"/>
      <c r="V426" s="70"/>
      <c r="W426" s="70"/>
      <c r="X426" s="70"/>
      <c r="Y426" s="70"/>
      <c r="Z426" s="70"/>
      <c r="AA426" s="70"/>
      <c r="AB426" s="70"/>
      <c r="AC426" s="70"/>
      <c r="AD426" s="136"/>
      <c r="AE426" s="24"/>
      <c r="AF426" s="24"/>
      <c r="AG426" s="73"/>
      <c r="AH426" s="125"/>
      <c r="AI426" s="103"/>
      <c r="AK426" s="113"/>
      <c r="AL426" s="113"/>
      <c r="AM426" s="113"/>
      <c r="AN426" s="113"/>
      <c r="AO426" s="137"/>
      <c r="AP426" s="137"/>
      <c r="AQ426" s="137"/>
      <c r="AR426" s="137"/>
      <c r="AS426" s="137"/>
      <c r="AT426" s="137"/>
      <c r="AU426" s="67"/>
      <c r="AV426" s="44"/>
      <c r="AW426" s="67"/>
      <c r="AX426" s="75"/>
      <c r="AY426" s="123"/>
      <c r="AZ426" s="67"/>
      <c r="BA426" s="138"/>
      <c r="BB426" s="67"/>
      <c r="BC426" s="67"/>
      <c r="BD426" s="67"/>
      <c r="BE426" s="67"/>
      <c r="BF426" s="67"/>
      <c r="BG426" s="67"/>
      <c r="BH426" s="67"/>
      <c r="BI426" s="67"/>
      <c r="BJ426" s="67"/>
      <c r="BK426" s="67"/>
      <c r="BL426" s="67"/>
      <c r="BM426" s="70"/>
      <c r="BN426" s="70"/>
      <c r="BO426" s="70"/>
      <c r="BP426" s="70"/>
      <c r="BQ426" s="70"/>
      <c r="BR426" s="70"/>
      <c r="BS426" s="70"/>
      <c r="BT426" s="70"/>
      <c r="BU426" s="70"/>
      <c r="BV426" s="70"/>
      <c r="BW426" s="70"/>
      <c r="BX426" s="136"/>
      <c r="BY426" s="70"/>
      <c r="BZ426" s="67"/>
      <c r="CA426" s="67"/>
      <c r="CB426" s="67"/>
    </row>
    <row r="427" spans="1:80" s="28" customFormat="1" ht="16" customHeight="1">
      <c r="A427" s="39"/>
      <c r="B427" s="57"/>
      <c r="C427" s="67"/>
      <c r="D427" s="67"/>
      <c r="E427" s="39"/>
      <c r="F427" s="39"/>
      <c r="G427" s="39"/>
      <c r="H427" s="67"/>
      <c r="I427" s="60"/>
      <c r="J427" s="60"/>
      <c r="K427" s="60"/>
      <c r="L427" s="60"/>
      <c r="M427" s="60"/>
      <c r="N427" s="60"/>
      <c r="O427" s="60"/>
      <c r="P427" s="60"/>
      <c r="Q427" s="60"/>
      <c r="R427" s="60"/>
      <c r="S427" s="70"/>
      <c r="T427" s="70"/>
      <c r="U427" s="70"/>
      <c r="V427" s="70"/>
      <c r="W427" s="70"/>
      <c r="X427" s="70"/>
      <c r="Y427" s="70"/>
      <c r="Z427" s="70"/>
      <c r="AA427" s="70"/>
      <c r="AB427" s="70"/>
      <c r="AC427" s="70"/>
      <c r="AD427" s="136"/>
      <c r="AE427" s="24"/>
      <c r="AF427" s="24"/>
      <c r="AG427" s="73"/>
      <c r="AH427" s="125"/>
      <c r="AI427" s="103"/>
      <c r="AK427" s="113"/>
      <c r="AL427" s="113"/>
      <c r="AM427" s="113"/>
      <c r="AN427" s="113"/>
      <c r="AO427" s="137"/>
      <c r="AP427" s="137"/>
      <c r="AQ427" s="137"/>
      <c r="AR427" s="137"/>
      <c r="AS427" s="137"/>
      <c r="AT427" s="137"/>
      <c r="AU427" s="67"/>
      <c r="AV427" s="44"/>
      <c r="AW427" s="67"/>
      <c r="AX427" s="75"/>
      <c r="AY427" s="123"/>
      <c r="AZ427" s="67"/>
      <c r="BA427" s="138"/>
      <c r="BB427" s="67"/>
      <c r="BC427" s="67"/>
      <c r="BD427" s="67"/>
      <c r="BE427" s="67"/>
      <c r="BF427" s="67"/>
      <c r="BG427" s="67"/>
      <c r="BH427" s="67"/>
      <c r="BI427" s="67"/>
      <c r="BJ427" s="67"/>
      <c r="BK427" s="67"/>
      <c r="BL427" s="67"/>
      <c r="BM427" s="70"/>
      <c r="BN427" s="70"/>
      <c r="BO427" s="70"/>
      <c r="BP427" s="70"/>
      <c r="BQ427" s="70"/>
      <c r="BR427" s="70"/>
      <c r="BS427" s="70"/>
      <c r="BT427" s="70"/>
      <c r="BU427" s="70"/>
      <c r="BV427" s="70"/>
      <c r="BW427" s="70"/>
      <c r="BX427" s="136"/>
      <c r="BY427" s="70"/>
      <c r="BZ427" s="67"/>
      <c r="CA427" s="67"/>
      <c r="CB427" s="67"/>
    </row>
    <row r="428" spans="1:80" s="28" customFormat="1" ht="16" customHeight="1">
      <c r="A428" s="39"/>
      <c r="B428" s="57"/>
      <c r="C428" s="67"/>
      <c r="D428" s="67"/>
      <c r="E428" s="39"/>
      <c r="F428" s="39"/>
      <c r="G428" s="39"/>
      <c r="H428" s="67"/>
      <c r="I428" s="60"/>
      <c r="J428" s="60"/>
      <c r="K428" s="60"/>
      <c r="L428" s="60"/>
      <c r="M428" s="60"/>
      <c r="N428" s="60"/>
      <c r="O428" s="60"/>
      <c r="P428" s="60"/>
      <c r="Q428" s="60"/>
      <c r="R428" s="60"/>
      <c r="S428" s="70"/>
      <c r="T428" s="70"/>
      <c r="U428" s="70"/>
      <c r="V428" s="70"/>
      <c r="W428" s="70"/>
      <c r="X428" s="70"/>
      <c r="Y428" s="70"/>
      <c r="Z428" s="70"/>
      <c r="AA428" s="70"/>
      <c r="AB428" s="70"/>
      <c r="AC428" s="70"/>
      <c r="AD428" s="136"/>
      <c r="AE428" s="24"/>
      <c r="AF428" s="24"/>
      <c r="AG428" s="73"/>
      <c r="AH428" s="125"/>
      <c r="AI428" s="103"/>
      <c r="AK428" s="113"/>
      <c r="AL428" s="113"/>
      <c r="AM428" s="113"/>
      <c r="AN428" s="113"/>
      <c r="AO428" s="137"/>
      <c r="AP428" s="137"/>
      <c r="AQ428" s="137"/>
      <c r="AR428" s="137"/>
      <c r="AS428" s="137"/>
      <c r="AT428" s="137"/>
      <c r="AU428" s="67"/>
      <c r="AV428" s="44"/>
      <c r="AW428" s="67"/>
      <c r="AX428" s="75"/>
      <c r="AY428" s="123"/>
      <c r="AZ428" s="67"/>
      <c r="BA428" s="138"/>
      <c r="BB428" s="67"/>
      <c r="BC428" s="67"/>
      <c r="BD428" s="67"/>
      <c r="BE428" s="67"/>
      <c r="BF428" s="67"/>
      <c r="BG428" s="67"/>
      <c r="BH428" s="67"/>
      <c r="BI428" s="67"/>
      <c r="BJ428" s="67"/>
      <c r="BK428" s="67"/>
      <c r="BL428" s="67"/>
      <c r="BM428" s="70"/>
      <c r="BN428" s="70"/>
      <c r="BO428" s="70"/>
      <c r="BP428" s="70"/>
      <c r="BQ428" s="70"/>
      <c r="BR428" s="70"/>
      <c r="BS428" s="70"/>
      <c r="BT428" s="70"/>
      <c r="BU428" s="70"/>
      <c r="BV428" s="70"/>
      <c r="BW428" s="70"/>
      <c r="BX428" s="136"/>
      <c r="BY428" s="70"/>
      <c r="BZ428" s="67"/>
      <c r="CA428" s="67"/>
      <c r="CB428" s="67"/>
    </row>
    <row r="429" spans="1:80" s="28" customFormat="1" ht="16" customHeight="1">
      <c r="A429" s="39"/>
      <c r="B429" s="57"/>
      <c r="C429" s="67"/>
      <c r="D429" s="67"/>
      <c r="E429" s="39"/>
      <c r="F429" s="39"/>
      <c r="G429" s="39"/>
      <c r="H429" s="67"/>
      <c r="I429" s="60"/>
      <c r="J429" s="60"/>
      <c r="K429" s="60"/>
      <c r="L429" s="60"/>
      <c r="M429" s="60"/>
      <c r="N429" s="60"/>
      <c r="O429" s="60"/>
      <c r="P429" s="60"/>
      <c r="Q429" s="60"/>
      <c r="R429" s="60"/>
      <c r="S429" s="70"/>
      <c r="T429" s="70"/>
      <c r="U429" s="70"/>
      <c r="V429" s="70"/>
      <c r="W429" s="70"/>
      <c r="X429" s="70"/>
      <c r="Y429" s="70"/>
      <c r="Z429" s="70"/>
      <c r="AA429" s="70"/>
      <c r="AB429" s="70"/>
      <c r="AC429" s="70"/>
      <c r="AD429" s="136"/>
      <c r="AE429" s="24"/>
      <c r="AF429" s="24"/>
      <c r="AG429" s="73"/>
      <c r="AH429" s="125"/>
      <c r="AI429" s="103"/>
      <c r="AK429" s="113"/>
      <c r="AL429" s="113"/>
      <c r="AM429" s="113"/>
      <c r="AN429" s="113"/>
      <c r="AO429" s="137"/>
      <c r="AP429" s="137"/>
      <c r="AQ429" s="137"/>
      <c r="AR429" s="137"/>
      <c r="AS429" s="137"/>
      <c r="AT429" s="137"/>
      <c r="AU429" s="67"/>
      <c r="AV429" s="44"/>
      <c r="AW429" s="67"/>
      <c r="AX429" s="75"/>
      <c r="AY429" s="123"/>
      <c r="AZ429" s="67"/>
      <c r="BA429" s="138"/>
      <c r="BB429" s="67"/>
      <c r="BC429" s="67"/>
      <c r="BD429" s="67"/>
      <c r="BE429" s="67"/>
      <c r="BF429" s="67"/>
      <c r="BG429" s="67"/>
      <c r="BH429" s="67"/>
      <c r="BI429" s="67"/>
      <c r="BJ429" s="67"/>
      <c r="BK429" s="67"/>
      <c r="BL429" s="67"/>
      <c r="BM429" s="70"/>
      <c r="BN429" s="70"/>
      <c r="BO429" s="70"/>
      <c r="BP429" s="70"/>
      <c r="BQ429" s="70"/>
      <c r="BR429" s="70"/>
      <c r="BS429" s="70"/>
      <c r="BT429" s="70"/>
      <c r="BU429" s="70"/>
      <c r="BV429" s="70"/>
      <c r="BW429" s="70"/>
      <c r="BX429" s="136"/>
      <c r="BY429" s="70"/>
      <c r="BZ429" s="67"/>
      <c r="CA429" s="67"/>
      <c r="CB429" s="67"/>
    </row>
    <row r="430" spans="1:80" s="28" customFormat="1" ht="16" customHeight="1">
      <c r="A430" s="39"/>
      <c r="B430" s="57"/>
      <c r="C430" s="67"/>
      <c r="D430" s="67"/>
      <c r="E430" s="39"/>
      <c r="F430" s="39"/>
      <c r="G430" s="39"/>
      <c r="H430" s="67"/>
      <c r="I430" s="60"/>
      <c r="J430" s="60"/>
      <c r="K430" s="60"/>
      <c r="L430" s="60"/>
      <c r="M430" s="60"/>
      <c r="N430" s="60"/>
      <c r="O430" s="60"/>
      <c r="P430" s="60"/>
      <c r="Q430" s="60"/>
      <c r="R430" s="60"/>
      <c r="S430" s="70"/>
      <c r="T430" s="70"/>
      <c r="U430" s="70"/>
      <c r="V430" s="70"/>
      <c r="W430" s="70"/>
      <c r="X430" s="70"/>
      <c r="Y430" s="70"/>
      <c r="Z430" s="70"/>
      <c r="AA430" s="70"/>
      <c r="AB430" s="70"/>
      <c r="AC430" s="70"/>
      <c r="AD430" s="136"/>
      <c r="AE430" s="24"/>
      <c r="AF430" s="24"/>
      <c r="AG430" s="73"/>
      <c r="AH430" s="125"/>
      <c r="AI430" s="103"/>
      <c r="AK430" s="113"/>
      <c r="AL430" s="113"/>
      <c r="AM430" s="113"/>
      <c r="AN430" s="113"/>
      <c r="AO430" s="137"/>
      <c r="AP430" s="137"/>
      <c r="AQ430" s="137"/>
      <c r="AR430" s="137"/>
      <c r="AS430" s="137"/>
      <c r="AT430" s="137"/>
      <c r="AU430" s="67"/>
      <c r="AV430" s="44"/>
      <c r="AW430" s="67"/>
      <c r="AX430" s="75"/>
      <c r="AY430" s="123"/>
      <c r="AZ430" s="67"/>
      <c r="BA430" s="138"/>
      <c r="BB430" s="67"/>
      <c r="BC430" s="67"/>
      <c r="BD430" s="67"/>
      <c r="BE430" s="67"/>
      <c r="BF430" s="67"/>
      <c r="BG430" s="67"/>
      <c r="BH430" s="67"/>
      <c r="BI430" s="67"/>
      <c r="BJ430" s="67"/>
      <c r="BK430" s="67"/>
      <c r="BL430" s="67"/>
      <c r="BM430" s="70"/>
      <c r="BN430" s="70"/>
      <c r="BO430" s="70"/>
      <c r="BP430" s="70"/>
      <c r="BQ430" s="70"/>
      <c r="BR430" s="70"/>
      <c r="BS430" s="70"/>
      <c r="BT430" s="70"/>
      <c r="BU430" s="70"/>
      <c r="BV430" s="70"/>
      <c r="BW430" s="70"/>
      <c r="BX430" s="136"/>
      <c r="BY430" s="70"/>
      <c r="BZ430" s="67"/>
      <c r="CA430" s="67"/>
      <c r="CB430" s="67"/>
    </row>
    <row r="431" spans="1:80" s="28" customFormat="1" ht="16" customHeight="1">
      <c r="A431" s="39"/>
      <c r="B431" s="57"/>
      <c r="C431" s="67"/>
      <c r="D431" s="67"/>
      <c r="E431" s="39"/>
      <c r="F431" s="39"/>
      <c r="G431" s="39"/>
      <c r="H431" s="67"/>
      <c r="I431" s="60"/>
      <c r="J431" s="60"/>
      <c r="K431" s="60"/>
      <c r="L431" s="60"/>
      <c r="M431" s="60"/>
      <c r="N431" s="60"/>
      <c r="O431" s="60"/>
      <c r="P431" s="60"/>
      <c r="Q431" s="60"/>
      <c r="R431" s="60"/>
      <c r="S431" s="70"/>
      <c r="T431" s="70"/>
      <c r="U431" s="70"/>
      <c r="V431" s="70"/>
      <c r="W431" s="70"/>
      <c r="X431" s="70"/>
      <c r="Y431" s="70"/>
      <c r="Z431" s="70"/>
      <c r="AA431" s="70"/>
      <c r="AB431" s="70"/>
      <c r="AC431" s="70"/>
      <c r="AD431" s="136"/>
      <c r="AE431" s="24"/>
      <c r="AF431" s="24"/>
      <c r="AG431" s="73"/>
      <c r="AH431" s="125"/>
      <c r="AI431" s="103"/>
      <c r="AK431" s="113"/>
      <c r="AL431" s="113"/>
      <c r="AM431" s="113"/>
      <c r="AN431" s="113"/>
      <c r="AO431" s="137"/>
      <c r="AP431" s="137"/>
      <c r="AQ431" s="137"/>
      <c r="AR431" s="137"/>
      <c r="AS431" s="137"/>
      <c r="AT431" s="137"/>
      <c r="AU431" s="67"/>
      <c r="AV431" s="44"/>
      <c r="AW431" s="67"/>
      <c r="AX431" s="75"/>
      <c r="AY431" s="123"/>
      <c r="AZ431" s="67"/>
      <c r="BA431" s="138"/>
      <c r="BB431" s="67"/>
      <c r="BC431" s="67"/>
      <c r="BD431" s="67"/>
      <c r="BE431" s="67"/>
      <c r="BF431" s="67"/>
      <c r="BG431" s="67"/>
      <c r="BH431" s="67"/>
      <c r="BI431" s="67"/>
      <c r="BJ431" s="67"/>
      <c r="BK431" s="67"/>
      <c r="BL431" s="67"/>
      <c r="BM431" s="70"/>
      <c r="BN431" s="70"/>
      <c r="BO431" s="70"/>
      <c r="BP431" s="70"/>
      <c r="BQ431" s="70"/>
      <c r="BR431" s="70"/>
      <c r="BS431" s="70"/>
      <c r="BT431" s="70"/>
      <c r="BU431" s="70"/>
      <c r="BV431" s="70"/>
      <c r="BW431" s="70"/>
      <c r="BX431" s="136"/>
      <c r="BY431" s="70"/>
      <c r="BZ431" s="67"/>
      <c r="CA431" s="67"/>
      <c r="CB431" s="67"/>
    </row>
    <row r="432" spans="1:80" s="28" customFormat="1" ht="16" customHeight="1">
      <c r="A432" s="39"/>
      <c r="B432" s="57"/>
      <c r="C432" s="67"/>
      <c r="D432" s="67"/>
      <c r="E432" s="39"/>
      <c r="F432" s="39"/>
      <c r="G432" s="39"/>
      <c r="H432" s="67"/>
      <c r="I432" s="60"/>
      <c r="J432" s="60"/>
      <c r="K432" s="60"/>
      <c r="L432" s="60"/>
      <c r="M432" s="60"/>
      <c r="N432" s="60"/>
      <c r="O432" s="60"/>
      <c r="P432" s="60"/>
      <c r="Q432" s="60"/>
      <c r="R432" s="60"/>
      <c r="S432" s="70"/>
      <c r="T432" s="70"/>
      <c r="U432" s="70"/>
      <c r="V432" s="70"/>
      <c r="W432" s="70"/>
      <c r="X432" s="70"/>
      <c r="Y432" s="70"/>
      <c r="Z432" s="70"/>
      <c r="AA432" s="70"/>
      <c r="AB432" s="70"/>
      <c r="AC432" s="70"/>
      <c r="AD432" s="136"/>
      <c r="AE432" s="24"/>
      <c r="AF432" s="24"/>
      <c r="AG432" s="73"/>
      <c r="AH432" s="125"/>
      <c r="AI432" s="103"/>
      <c r="AK432" s="113"/>
      <c r="AL432" s="113"/>
      <c r="AM432" s="113"/>
      <c r="AN432" s="113"/>
      <c r="AO432" s="137"/>
      <c r="AP432" s="137"/>
      <c r="AQ432" s="137"/>
      <c r="AR432" s="137"/>
      <c r="AS432" s="137"/>
      <c r="AT432" s="137"/>
      <c r="AU432" s="67"/>
      <c r="AV432" s="44"/>
      <c r="AW432" s="67"/>
      <c r="AX432" s="75"/>
      <c r="AY432" s="123"/>
      <c r="AZ432" s="67"/>
      <c r="BA432" s="138"/>
      <c r="BB432" s="67"/>
      <c r="BC432" s="67"/>
      <c r="BD432" s="67"/>
      <c r="BE432" s="67"/>
      <c r="BF432" s="67"/>
      <c r="BG432" s="67"/>
      <c r="BH432" s="67"/>
      <c r="BI432" s="67"/>
      <c r="BJ432" s="67"/>
      <c r="BK432" s="67"/>
      <c r="BL432" s="67"/>
      <c r="BM432" s="70"/>
      <c r="BN432" s="70"/>
      <c r="BO432" s="70"/>
      <c r="BP432" s="70"/>
      <c r="BQ432" s="70"/>
      <c r="BR432" s="70"/>
      <c r="BS432" s="70"/>
      <c r="BT432" s="70"/>
      <c r="BU432" s="70"/>
      <c r="BV432" s="70"/>
      <c r="BW432" s="70"/>
      <c r="BX432" s="136"/>
      <c r="BY432" s="70"/>
      <c r="BZ432" s="67"/>
      <c r="CA432" s="67"/>
      <c r="CB432" s="67"/>
    </row>
    <row r="433" spans="1:80" s="28" customFormat="1" ht="16" customHeight="1">
      <c r="A433" s="39"/>
      <c r="B433" s="57"/>
      <c r="C433" s="67"/>
      <c r="D433" s="67"/>
      <c r="E433" s="39"/>
      <c r="F433" s="39"/>
      <c r="G433" s="39"/>
      <c r="H433" s="67"/>
      <c r="I433" s="60"/>
      <c r="J433" s="60"/>
      <c r="K433" s="60"/>
      <c r="L433" s="60"/>
      <c r="M433" s="60"/>
      <c r="N433" s="60"/>
      <c r="O433" s="60"/>
      <c r="P433" s="60"/>
      <c r="Q433" s="60"/>
      <c r="R433" s="60"/>
      <c r="S433" s="70"/>
      <c r="T433" s="70"/>
      <c r="U433" s="70"/>
      <c r="V433" s="70"/>
      <c r="W433" s="70"/>
      <c r="X433" s="70"/>
      <c r="Y433" s="70"/>
      <c r="Z433" s="70"/>
      <c r="AA433" s="70"/>
      <c r="AB433" s="70"/>
      <c r="AC433" s="70"/>
      <c r="AD433" s="136"/>
      <c r="AE433" s="24"/>
      <c r="AF433" s="24"/>
      <c r="AG433" s="73"/>
      <c r="AH433" s="125"/>
      <c r="AI433" s="103"/>
      <c r="AK433" s="113"/>
      <c r="AL433" s="113"/>
      <c r="AM433" s="113"/>
      <c r="AN433" s="113"/>
      <c r="AO433" s="137"/>
      <c r="AP433" s="137"/>
      <c r="AQ433" s="137"/>
      <c r="AR433" s="137"/>
      <c r="AS433" s="137"/>
      <c r="AT433" s="137"/>
      <c r="AU433" s="67"/>
      <c r="AV433" s="44"/>
      <c r="AW433" s="67"/>
      <c r="AX433" s="75"/>
      <c r="AY433" s="123"/>
      <c r="AZ433" s="67"/>
      <c r="BA433" s="138"/>
      <c r="BB433" s="67"/>
      <c r="BC433" s="67"/>
      <c r="BD433" s="67"/>
      <c r="BE433" s="67"/>
      <c r="BF433" s="67"/>
      <c r="BG433" s="67"/>
      <c r="BH433" s="67"/>
      <c r="BI433" s="67"/>
      <c r="BJ433" s="67"/>
      <c r="BK433" s="67"/>
      <c r="BL433" s="67"/>
      <c r="BM433" s="70"/>
      <c r="BN433" s="70"/>
      <c r="BO433" s="70"/>
      <c r="BP433" s="70"/>
      <c r="BQ433" s="70"/>
      <c r="BR433" s="70"/>
      <c r="BS433" s="70"/>
      <c r="BT433" s="70"/>
      <c r="BU433" s="70"/>
      <c r="BV433" s="70"/>
      <c r="BW433" s="70"/>
      <c r="BX433" s="136"/>
      <c r="BY433" s="70"/>
      <c r="BZ433" s="67"/>
      <c r="CA433" s="67"/>
      <c r="CB433" s="67"/>
    </row>
    <row r="434" spans="1:80" s="28" customFormat="1" ht="16" customHeight="1">
      <c r="A434" s="39"/>
      <c r="B434" s="57"/>
      <c r="C434" s="67"/>
      <c r="D434" s="67"/>
      <c r="E434" s="39"/>
      <c r="F434" s="39"/>
      <c r="G434" s="39"/>
      <c r="H434" s="67"/>
      <c r="I434" s="60"/>
      <c r="J434" s="60"/>
      <c r="K434" s="60"/>
      <c r="L434" s="60"/>
      <c r="M434" s="60"/>
      <c r="N434" s="60"/>
      <c r="O434" s="60"/>
      <c r="P434" s="60"/>
      <c r="Q434" s="60"/>
      <c r="R434" s="60"/>
      <c r="S434" s="70"/>
      <c r="T434" s="70"/>
      <c r="U434" s="70"/>
      <c r="V434" s="70"/>
      <c r="W434" s="70"/>
      <c r="X434" s="70"/>
      <c r="Y434" s="70"/>
      <c r="Z434" s="70"/>
      <c r="AA434" s="70"/>
      <c r="AB434" s="70"/>
      <c r="AC434" s="70"/>
      <c r="AD434" s="136"/>
      <c r="AE434" s="24"/>
      <c r="AF434" s="24"/>
      <c r="AG434" s="73"/>
      <c r="AH434" s="125"/>
      <c r="AI434" s="103"/>
      <c r="AK434" s="113"/>
      <c r="AL434" s="113"/>
      <c r="AM434" s="113"/>
      <c r="AN434" s="113"/>
      <c r="AO434" s="137"/>
      <c r="AP434" s="137"/>
      <c r="AQ434" s="137"/>
      <c r="AR434" s="137"/>
      <c r="AS434" s="137"/>
      <c r="AT434" s="137"/>
      <c r="AU434" s="67"/>
      <c r="AV434" s="44"/>
      <c r="AW434" s="67"/>
      <c r="AX434" s="75"/>
      <c r="AY434" s="123"/>
      <c r="AZ434" s="67"/>
      <c r="BA434" s="138"/>
      <c r="BB434" s="67"/>
      <c r="BC434" s="67"/>
      <c r="BD434" s="67"/>
      <c r="BE434" s="67"/>
      <c r="BF434" s="67"/>
      <c r="BG434" s="67"/>
      <c r="BH434" s="67"/>
      <c r="BI434" s="67"/>
      <c r="BJ434" s="67"/>
      <c r="BK434" s="67"/>
      <c r="BL434" s="67"/>
      <c r="BM434" s="70"/>
      <c r="BN434" s="70"/>
      <c r="BO434" s="70"/>
      <c r="BP434" s="70"/>
      <c r="BQ434" s="70"/>
      <c r="BR434" s="70"/>
      <c r="BS434" s="70"/>
      <c r="BT434" s="70"/>
      <c r="BU434" s="70"/>
      <c r="BV434" s="70"/>
      <c r="BW434" s="70"/>
      <c r="BX434" s="136"/>
      <c r="BY434" s="70"/>
      <c r="BZ434" s="67"/>
      <c r="CA434" s="67"/>
      <c r="CB434" s="67"/>
    </row>
    <row r="435" spans="1:80" s="28" customFormat="1" ht="16" customHeight="1">
      <c r="A435" s="39"/>
      <c r="B435" s="57"/>
      <c r="C435" s="67"/>
      <c r="D435" s="67"/>
      <c r="E435" s="39"/>
      <c r="F435" s="39"/>
      <c r="G435" s="39"/>
      <c r="H435" s="67"/>
      <c r="I435" s="60"/>
      <c r="J435" s="60"/>
      <c r="K435" s="60"/>
      <c r="L435" s="60"/>
      <c r="M435" s="60"/>
      <c r="N435" s="60"/>
      <c r="O435" s="60"/>
      <c r="P435" s="60"/>
      <c r="Q435" s="60"/>
      <c r="R435" s="60"/>
      <c r="S435" s="70"/>
      <c r="T435" s="70"/>
      <c r="U435" s="70"/>
      <c r="V435" s="70"/>
      <c r="W435" s="70"/>
      <c r="X435" s="70"/>
      <c r="Y435" s="70"/>
      <c r="Z435" s="70"/>
      <c r="AA435" s="70"/>
      <c r="AB435" s="70"/>
      <c r="AC435" s="70"/>
      <c r="AD435" s="136"/>
      <c r="AE435" s="24"/>
      <c r="AF435" s="24"/>
      <c r="AG435" s="73"/>
      <c r="AH435" s="125"/>
      <c r="AI435" s="103"/>
      <c r="AK435" s="113"/>
      <c r="AL435" s="113"/>
      <c r="AM435" s="113"/>
      <c r="AN435" s="113"/>
      <c r="AO435" s="137"/>
      <c r="AP435" s="137"/>
      <c r="AQ435" s="137"/>
      <c r="AR435" s="137"/>
      <c r="AS435" s="137"/>
      <c r="AT435" s="137"/>
      <c r="AU435" s="67"/>
      <c r="AV435" s="44"/>
      <c r="AW435" s="67"/>
      <c r="AX435" s="75"/>
      <c r="AY435" s="123"/>
      <c r="AZ435" s="67"/>
      <c r="BA435" s="138"/>
      <c r="BB435" s="67"/>
      <c r="BC435" s="67"/>
      <c r="BD435" s="67"/>
      <c r="BE435" s="67"/>
      <c r="BF435" s="67"/>
      <c r="BG435" s="67"/>
      <c r="BH435" s="67"/>
      <c r="BI435" s="67"/>
      <c r="BJ435" s="67"/>
      <c r="BK435" s="67"/>
      <c r="BL435" s="67"/>
      <c r="BM435" s="70"/>
      <c r="BN435" s="70"/>
      <c r="BO435" s="70"/>
      <c r="BP435" s="70"/>
      <c r="BQ435" s="70"/>
      <c r="BR435" s="70"/>
      <c r="BS435" s="70"/>
      <c r="BT435" s="70"/>
      <c r="BU435" s="70"/>
      <c r="BV435" s="70"/>
      <c r="BW435" s="70"/>
      <c r="BX435" s="136"/>
      <c r="BY435" s="70"/>
      <c r="BZ435" s="67"/>
      <c r="CA435" s="67"/>
      <c r="CB435" s="67"/>
    </row>
    <row r="436" spans="1:80" s="28" customFormat="1" ht="16" customHeight="1">
      <c r="A436" s="39"/>
      <c r="B436" s="57"/>
      <c r="C436" s="67"/>
      <c r="D436" s="67"/>
      <c r="E436" s="39"/>
      <c r="F436" s="39"/>
      <c r="G436" s="39"/>
      <c r="H436" s="67"/>
      <c r="I436" s="60"/>
      <c r="J436" s="60"/>
      <c r="K436" s="60"/>
      <c r="L436" s="60"/>
      <c r="M436" s="60"/>
      <c r="N436" s="60"/>
      <c r="O436" s="60"/>
      <c r="P436" s="60"/>
      <c r="Q436" s="60"/>
      <c r="R436" s="60"/>
      <c r="S436" s="70"/>
      <c r="T436" s="70"/>
      <c r="U436" s="70"/>
      <c r="V436" s="70"/>
      <c r="W436" s="70"/>
      <c r="X436" s="70"/>
      <c r="Y436" s="70"/>
      <c r="Z436" s="70"/>
      <c r="AA436" s="70"/>
      <c r="AB436" s="70"/>
      <c r="AC436" s="70"/>
      <c r="AD436" s="136"/>
      <c r="AE436" s="24"/>
      <c r="AF436" s="24"/>
      <c r="AG436" s="73"/>
      <c r="AH436" s="125"/>
      <c r="AI436" s="103"/>
      <c r="AK436" s="113"/>
      <c r="AL436" s="113"/>
      <c r="AM436" s="113"/>
      <c r="AN436" s="113"/>
      <c r="AO436" s="137"/>
      <c r="AP436" s="137"/>
      <c r="AQ436" s="137"/>
      <c r="AR436" s="137"/>
      <c r="AS436" s="137"/>
      <c r="AT436" s="137"/>
      <c r="AU436" s="67"/>
      <c r="AV436" s="44"/>
      <c r="AW436" s="67"/>
      <c r="AX436" s="75"/>
      <c r="AY436" s="123"/>
      <c r="AZ436" s="67"/>
      <c r="BA436" s="138"/>
      <c r="BB436" s="67"/>
      <c r="BC436" s="67"/>
      <c r="BD436" s="67"/>
      <c r="BE436" s="67"/>
      <c r="BF436" s="67"/>
      <c r="BG436" s="67"/>
      <c r="BH436" s="67"/>
      <c r="BI436" s="67"/>
      <c r="BJ436" s="67"/>
      <c r="BK436" s="67"/>
      <c r="BL436" s="67"/>
      <c r="BM436" s="70"/>
      <c r="BN436" s="70"/>
      <c r="BO436" s="70"/>
      <c r="BP436" s="70"/>
      <c r="BQ436" s="70"/>
      <c r="BR436" s="70"/>
      <c r="BS436" s="70"/>
      <c r="BT436" s="70"/>
      <c r="BU436" s="70"/>
      <c r="BV436" s="70"/>
      <c r="BW436" s="70"/>
      <c r="BX436" s="136"/>
      <c r="BY436" s="70"/>
      <c r="BZ436" s="67"/>
      <c r="CA436" s="67"/>
      <c r="CB436" s="67"/>
    </row>
    <row r="437" spans="1:80" s="28" customFormat="1" ht="16" customHeight="1">
      <c r="A437" s="39"/>
      <c r="B437" s="57"/>
      <c r="C437" s="67"/>
      <c r="D437" s="67"/>
      <c r="E437" s="39"/>
      <c r="F437" s="39"/>
      <c r="G437" s="39"/>
      <c r="H437" s="67"/>
      <c r="I437" s="60"/>
      <c r="J437" s="60"/>
      <c r="K437" s="60"/>
      <c r="L437" s="60"/>
      <c r="M437" s="60"/>
      <c r="N437" s="60"/>
      <c r="O437" s="60"/>
      <c r="P437" s="60"/>
      <c r="Q437" s="60"/>
      <c r="R437" s="60"/>
      <c r="S437" s="70"/>
      <c r="T437" s="70"/>
      <c r="U437" s="70"/>
      <c r="V437" s="70"/>
      <c r="W437" s="70"/>
      <c r="X437" s="70"/>
      <c r="Y437" s="70"/>
      <c r="Z437" s="70"/>
      <c r="AA437" s="70"/>
      <c r="AB437" s="70"/>
      <c r="AC437" s="70"/>
      <c r="AD437" s="136"/>
      <c r="AE437" s="24"/>
      <c r="AF437" s="24"/>
      <c r="AG437" s="73"/>
      <c r="AH437" s="125"/>
      <c r="AI437" s="103"/>
      <c r="AK437" s="113"/>
      <c r="AL437" s="113"/>
      <c r="AM437" s="113"/>
      <c r="AN437" s="113"/>
      <c r="AO437" s="137"/>
      <c r="AP437" s="137"/>
      <c r="AQ437" s="137"/>
      <c r="AR437" s="137"/>
      <c r="AS437" s="137"/>
      <c r="AT437" s="137"/>
      <c r="AU437" s="67"/>
      <c r="AV437" s="44"/>
      <c r="AW437" s="67"/>
      <c r="AX437" s="75"/>
      <c r="AY437" s="123"/>
      <c r="AZ437" s="67"/>
      <c r="BA437" s="138"/>
      <c r="BB437" s="67"/>
      <c r="BC437" s="67"/>
      <c r="BD437" s="67"/>
      <c r="BE437" s="67"/>
      <c r="BF437" s="67"/>
      <c r="BG437" s="67"/>
      <c r="BH437" s="67"/>
      <c r="BI437" s="67"/>
      <c r="BJ437" s="67"/>
      <c r="BK437" s="67"/>
      <c r="BL437" s="67"/>
      <c r="BM437" s="70"/>
      <c r="BN437" s="70"/>
      <c r="BO437" s="70"/>
      <c r="BP437" s="70"/>
      <c r="BQ437" s="70"/>
      <c r="BR437" s="70"/>
      <c r="BS437" s="70"/>
      <c r="BT437" s="70"/>
      <c r="BU437" s="70"/>
      <c r="BV437" s="70"/>
      <c r="BW437" s="70"/>
      <c r="BX437" s="136"/>
      <c r="BY437" s="70"/>
      <c r="BZ437" s="67"/>
      <c r="CA437" s="67"/>
      <c r="CB437" s="67"/>
    </row>
    <row r="438" spans="1:80" s="28" customFormat="1" ht="16" customHeight="1">
      <c r="A438" s="39"/>
      <c r="B438" s="57"/>
      <c r="C438" s="67"/>
      <c r="D438" s="67"/>
      <c r="E438" s="39"/>
      <c r="F438" s="39"/>
      <c r="G438" s="39"/>
      <c r="H438" s="67"/>
      <c r="I438" s="60"/>
      <c r="J438" s="60"/>
      <c r="K438" s="60"/>
      <c r="L438" s="60"/>
      <c r="M438" s="60"/>
      <c r="N438" s="60"/>
      <c r="O438" s="60"/>
      <c r="P438" s="60"/>
      <c r="Q438" s="60"/>
      <c r="R438" s="60"/>
      <c r="S438" s="70"/>
      <c r="T438" s="70"/>
      <c r="U438" s="70"/>
      <c r="V438" s="70"/>
      <c r="W438" s="70"/>
      <c r="X438" s="70"/>
      <c r="Y438" s="70"/>
      <c r="Z438" s="70"/>
      <c r="AA438" s="70"/>
      <c r="AB438" s="70"/>
      <c r="AC438" s="70"/>
      <c r="AD438" s="136"/>
      <c r="AE438" s="24"/>
      <c r="AF438" s="24"/>
      <c r="AG438" s="73"/>
      <c r="AH438" s="125"/>
      <c r="AI438" s="103"/>
      <c r="AK438" s="113"/>
      <c r="AL438" s="113"/>
      <c r="AM438" s="113"/>
      <c r="AN438" s="113"/>
      <c r="AO438" s="137"/>
      <c r="AP438" s="137"/>
      <c r="AQ438" s="137"/>
      <c r="AR438" s="137"/>
      <c r="AS438" s="137"/>
      <c r="AT438" s="137"/>
      <c r="AU438" s="67"/>
      <c r="AV438" s="44"/>
      <c r="AW438" s="67"/>
      <c r="AX438" s="75"/>
      <c r="AY438" s="123"/>
      <c r="AZ438" s="67"/>
      <c r="BA438" s="138"/>
      <c r="BB438" s="67"/>
      <c r="BC438" s="67"/>
      <c r="BD438" s="67"/>
      <c r="BE438" s="67"/>
      <c r="BF438" s="67"/>
      <c r="BG438" s="67"/>
      <c r="BH438" s="67"/>
      <c r="BI438" s="67"/>
      <c r="BJ438" s="67"/>
      <c r="BK438" s="67"/>
      <c r="BL438" s="67"/>
      <c r="BM438" s="70"/>
      <c r="BN438" s="70"/>
      <c r="BO438" s="70"/>
      <c r="BP438" s="70"/>
      <c r="BQ438" s="70"/>
      <c r="BR438" s="70"/>
      <c r="BS438" s="70"/>
      <c r="BT438" s="70"/>
      <c r="BU438" s="70"/>
      <c r="BV438" s="70"/>
      <c r="BW438" s="70"/>
      <c r="BX438" s="136"/>
      <c r="BY438" s="70"/>
      <c r="BZ438" s="67"/>
      <c r="CA438" s="67"/>
      <c r="CB438" s="67"/>
    </row>
    <row r="439" spans="1:80" s="28" customFormat="1" ht="16" customHeight="1">
      <c r="A439" s="39"/>
      <c r="B439" s="57"/>
      <c r="C439" s="67"/>
      <c r="D439" s="67"/>
      <c r="E439" s="39"/>
      <c r="F439" s="39"/>
      <c r="G439" s="39"/>
      <c r="H439" s="67"/>
      <c r="I439" s="60"/>
      <c r="J439" s="60"/>
      <c r="K439" s="60"/>
      <c r="L439" s="60"/>
      <c r="M439" s="60"/>
      <c r="N439" s="60"/>
      <c r="O439" s="60"/>
      <c r="P439" s="60"/>
      <c r="Q439" s="60"/>
      <c r="R439" s="60"/>
      <c r="S439" s="70"/>
      <c r="T439" s="70"/>
      <c r="U439" s="70"/>
      <c r="V439" s="70"/>
      <c r="W439" s="70"/>
      <c r="X439" s="70"/>
      <c r="Y439" s="70"/>
      <c r="Z439" s="70"/>
      <c r="AA439" s="70"/>
      <c r="AB439" s="70"/>
      <c r="AC439" s="70"/>
      <c r="AD439" s="136"/>
      <c r="AE439" s="24"/>
      <c r="AF439" s="24"/>
      <c r="AG439" s="73"/>
      <c r="AH439" s="125"/>
      <c r="AI439" s="103"/>
      <c r="AK439" s="113"/>
      <c r="AL439" s="113"/>
      <c r="AM439" s="113"/>
      <c r="AN439" s="113"/>
      <c r="AO439" s="137"/>
      <c r="AP439" s="137"/>
      <c r="AQ439" s="137"/>
      <c r="AR439" s="137"/>
      <c r="AS439" s="137"/>
      <c r="AT439" s="137"/>
      <c r="AU439" s="67"/>
      <c r="AV439" s="44"/>
      <c r="AW439" s="67"/>
      <c r="AX439" s="75"/>
      <c r="AY439" s="123"/>
      <c r="AZ439" s="67"/>
      <c r="BA439" s="138"/>
      <c r="BB439" s="67"/>
      <c r="BC439" s="67"/>
      <c r="BD439" s="67"/>
      <c r="BE439" s="67"/>
      <c r="BF439" s="67"/>
      <c r="BG439" s="67"/>
      <c r="BH439" s="67"/>
      <c r="BI439" s="67"/>
      <c r="BJ439" s="67"/>
      <c r="BK439" s="67"/>
      <c r="BL439" s="67"/>
      <c r="BM439" s="70"/>
      <c r="BN439" s="70"/>
      <c r="BO439" s="70"/>
      <c r="BP439" s="70"/>
      <c r="BQ439" s="70"/>
      <c r="BR439" s="70"/>
      <c r="BS439" s="70"/>
      <c r="BT439" s="70"/>
      <c r="BU439" s="70"/>
      <c r="BV439" s="70"/>
      <c r="BW439" s="70"/>
      <c r="BX439" s="136"/>
      <c r="BY439" s="70"/>
      <c r="BZ439" s="67"/>
      <c r="CA439" s="67"/>
      <c r="CB439" s="67"/>
    </row>
    <row r="440" spans="1:80" s="28" customFormat="1" ht="16" customHeight="1">
      <c r="A440" s="39"/>
      <c r="B440" s="57"/>
      <c r="C440" s="67"/>
      <c r="D440" s="67"/>
      <c r="E440" s="39"/>
      <c r="F440" s="39"/>
      <c r="G440" s="39"/>
      <c r="H440" s="67"/>
      <c r="I440" s="60"/>
      <c r="J440" s="60"/>
      <c r="K440" s="60"/>
      <c r="L440" s="60"/>
      <c r="M440" s="60"/>
      <c r="N440" s="60"/>
      <c r="O440" s="60"/>
      <c r="P440" s="60"/>
      <c r="Q440" s="60"/>
      <c r="R440" s="60"/>
      <c r="S440" s="70"/>
      <c r="T440" s="70"/>
      <c r="U440" s="70"/>
      <c r="V440" s="70"/>
      <c r="W440" s="70"/>
      <c r="X440" s="70"/>
      <c r="Y440" s="70"/>
      <c r="Z440" s="70"/>
      <c r="AA440" s="70"/>
      <c r="AB440" s="70"/>
      <c r="AC440" s="70"/>
      <c r="AD440" s="136"/>
      <c r="AE440" s="24"/>
      <c r="AF440" s="24"/>
      <c r="AG440" s="73"/>
      <c r="AH440" s="125"/>
      <c r="AI440" s="103"/>
      <c r="AK440" s="113"/>
      <c r="AL440" s="113"/>
      <c r="AM440" s="113"/>
      <c r="AN440" s="113"/>
      <c r="AO440" s="137"/>
      <c r="AP440" s="137"/>
      <c r="AQ440" s="137"/>
      <c r="AR440" s="137"/>
      <c r="AS440" s="137"/>
      <c r="AT440" s="137"/>
      <c r="AU440" s="67"/>
      <c r="AV440" s="44"/>
      <c r="AW440" s="67"/>
      <c r="AX440" s="75"/>
      <c r="AY440" s="123"/>
      <c r="AZ440" s="67"/>
      <c r="BA440" s="138"/>
      <c r="BB440" s="67"/>
      <c r="BC440" s="67"/>
      <c r="BD440" s="67"/>
      <c r="BE440" s="67"/>
      <c r="BF440" s="67"/>
      <c r="BG440" s="67"/>
      <c r="BH440" s="67"/>
      <c r="BI440" s="67"/>
      <c r="BJ440" s="67"/>
      <c r="BK440" s="67"/>
      <c r="BL440" s="67"/>
      <c r="BM440" s="70"/>
      <c r="BN440" s="70"/>
      <c r="BO440" s="70"/>
      <c r="BP440" s="70"/>
      <c r="BQ440" s="70"/>
      <c r="BR440" s="70"/>
      <c r="BS440" s="70"/>
      <c r="BT440" s="70"/>
      <c r="BU440" s="70"/>
      <c r="BV440" s="70"/>
      <c r="BW440" s="70"/>
      <c r="BX440" s="136"/>
      <c r="BY440" s="70"/>
      <c r="BZ440" s="67"/>
      <c r="CA440" s="67"/>
      <c r="CB440" s="67"/>
    </row>
    <row r="441" spans="1:80" s="28" customFormat="1" ht="16" customHeight="1">
      <c r="A441" s="39"/>
      <c r="B441" s="57"/>
      <c r="C441" s="67"/>
      <c r="D441" s="67"/>
      <c r="E441" s="39"/>
      <c r="F441" s="39"/>
      <c r="G441" s="39"/>
      <c r="H441" s="67"/>
      <c r="I441" s="60"/>
      <c r="J441" s="60"/>
      <c r="K441" s="60"/>
      <c r="L441" s="60"/>
      <c r="M441" s="60"/>
      <c r="N441" s="60"/>
      <c r="O441" s="60"/>
      <c r="P441" s="60"/>
      <c r="Q441" s="60"/>
      <c r="R441" s="60"/>
      <c r="S441" s="70"/>
      <c r="T441" s="70"/>
      <c r="U441" s="70"/>
      <c r="V441" s="70"/>
      <c r="W441" s="70"/>
      <c r="X441" s="70"/>
      <c r="Y441" s="70"/>
      <c r="Z441" s="70"/>
      <c r="AA441" s="70"/>
      <c r="AB441" s="70"/>
      <c r="AC441" s="70"/>
      <c r="AD441" s="136"/>
      <c r="AE441" s="24"/>
      <c r="AF441" s="24"/>
      <c r="AG441" s="73"/>
      <c r="AH441" s="125"/>
      <c r="AI441" s="103"/>
      <c r="AK441" s="113"/>
      <c r="AL441" s="113"/>
      <c r="AM441" s="113"/>
      <c r="AN441" s="113"/>
      <c r="AO441" s="137"/>
      <c r="AP441" s="137"/>
      <c r="AQ441" s="137"/>
      <c r="AR441" s="137"/>
      <c r="AS441" s="137"/>
      <c r="AT441" s="137"/>
      <c r="AU441" s="67"/>
      <c r="AV441" s="44"/>
      <c r="AW441" s="67"/>
      <c r="AX441" s="75"/>
      <c r="AY441" s="123"/>
      <c r="AZ441" s="67"/>
      <c r="BA441" s="138"/>
      <c r="BB441" s="67"/>
      <c r="BC441" s="67"/>
      <c r="BD441" s="67"/>
      <c r="BE441" s="67"/>
      <c r="BF441" s="67"/>
      <c r="BG441" s="67"/>
      <c r="BH441" s="67"/>
      <c r="BI441" s="67"/>
      <c r="BJ441" s="67"/>
      <c r="BK441" s="67"/>
      <c r="BL441" s="67"/>
      <c r="BM441" s="70"/>
      <c r="BN441" s="70"/>
      <c r="BO441" s="70"/>
      <c r="BP441" s="70"/>
      <c r="BQ441" s="70"/>
      <c r="BR441" s="70"/>
      <c r="BS441" s="70"/>
      <c r="BT441" s="70"/>
      <c r="BU441" s="70"/>
      <c r="BV441" s="70"/>
      <c r="BW441" s="70"/>
      <c r="BX441" s="136"/>
      <c r="BY441" s="70"/>
      <c r="BZ441" s="67"/>
      <c r="CA441" s="67"/>
      <c r="CB441" s="67"/>
    </row>
    <row r="442" spans="1:80" s="28" customFormat="1" ht="16" customHeight="1">
      <c r="A442" s="39"/>
      <c r="B442" s="57"/>
      <c r="C442" s="67"/>
      <c r="D442" s="67"/>
      <c r="E442" s="39"/>
      <c r="F442" s="39"/>
      <c r="G442" s="39"/>
      <c r="H442" s="67"/>
      <c r="I442" s="60"/>
      <c r="J442" s="60"/>
      <c r="K442" s="60"/>
      <c r="L442" s="60"/>
      <c r="M442" s="60"/>
      <c r="N442" s="60"/>
      <c r="O442" s="60"/>
      <c r="P442" s="60"/>
      <c r="Q442" s="60"/>
      <c r="R442" s="60"/>
      <c r="S442" s="70"/>
      <c r="T442" s="70"/>
      <c r="U442" s="70"/>
      <c r="V442" s="70"/>
      <c r="W442" s="70"/>
      <c r="X442" s="70"/>
      <c r="Y442" s="70"/>
      <c r="Z442" s="70"/>
      <c r="AA442" s="70"/>
      <c r="AB442" s="70"/>
      <c r="AC442" s="70"/>
      <c r="AD442" s="136"/>
      <c r="AE442" s="24"/>
      <c r="AF442" s="24"/>
      <c r="AG442" s="73"/>
      <c r="AH442" s="125"/>
      <c r="AI442" s="103"/>
      <c r="AK442" s="113"/>
      <c r="AL442" s="113"/>
      <c r="AM442" s="113"/>
      <c r="AN442" s="113"/>
      <c r="AO442" s="137"/>
      <c r="AP442" s="137"/>
      <c r="AQ442" s="137"/>
      <c r="AR442" s="137"/>
      <c r="AS442" s="137"/>
      <c r="AT442" s="137"/>
      <c r="AU442" s="67"/>
      <c r="AV442" s="44"/>
      <c r="AW442" s="67"/>
      <c r="AX442" s="75"/>
      <c r="AY442" s="123"/>
      <c r="AZ442" s="67"/>
      <c r="BA442" s="138"/>
      <c r="BB442" s="67"/>
      <c r="BC442" s="67"/>
      <c r="BD442" s="67"/>
      <c r="BE442" s="67"/>
      <c r="BF442" s="67"/>
      <c r="BG442" s="67"/>
      <c r="BH442" s="67"/>
      <c r="BI442" s="67"/>
      <c r="BJ442" s="67"/>
      <c r="BK442" s="67"/>
      <c r="BL442" s="67"/>
      <c r="BM442" s="70"/>
      <c r="BN442" s="70"/>
      <c r="BO442" s="70"/>
      <c r="BP442" s="70"/>
      <c r="BQ442" s="70"/>
      <c r="BR442" s="70"/>
      <c r="BS442" s="70"/>
      <c r="BT442" s="70"/>
      <c r="BU442" s="70"/>
      <c r="BV442" s="70"/>
      <c r="BW442" s="70"/>
      <c r="BX442" s="136"/>
      <c r="BY442" s="70"/>
      <c r="BZ442" s="67"/>
      <c r="CA442" s="67"/>
      <c r="CB442" s="67"/>
    </row>
    <row r="443" spans="1:80" s="28" customFormat="1" ht="16" customHeight="1">
      <c r="A443" s="39"/>
      <c r="B443" s="57"/>
      <c r="C443" s="67"/>
      <c r="D443" s="67"/>
      <c r="E443" s="39"/>
      <c r="F443" s="39"/>
      <c r="G443" s="39"/>
      <c r="H443" s="67"/>
      <c r="I443" s="60"/>
      <c r="J443" s="60"/>
      <c r="K443" s="60"/>
      <c r="L443" s="60"/>
      <c r="M443" s="60"/>
      <c r="N443" s="60"/>
      <c r="O443" s="60"/>
      <c r="P443" s="60"/>
      <c r="Q443" s="60"/>
      <c r="R443" s="60"/>
      <c r="S443" s="70"/>
      <c r="T443" s="70"/>
      <c r="U443" s="70"/>
      <c r="V443" s="70"/>
      <c r="W443" s="70"/>
      <c r="X443" s="70"/>
      <c r="Y443" s="70"/>
      <c r="Z443" s="70"/>
      <c r="AA443" s="70"/>
      <c r="AB443" s="70"/>
      <c r="AC443" s="70"/>
      <c r="AD443" s="136"/>
      <c r="AE443" s="24"/>
      <c r="AF443" s="24"/>
      <c r="AG443" s="73"/>
      <c r="AH443" s="125"/>
      <c r="AI443" s="103"/>
      <c r="AK443" s="113"/>
      <c r="AL443" s="113"/>
      <c r="AM443" s="113"/>
      <c r="AN443" s="113"/>
      <c r="AO443" s="137"/>
      <c r="AP443" s="137"/>
      <c r="AQ443" s="137"/>
      <c r="AR443" s="137"/>
      <c r="AS443" s="137"/>
      <c r="AT443" s="137"/>
      <c r="AU443" s="67"/>
      <c r="AV443" s="44"/>
      <c r="AW443" s="67"/>
      <c r="AX443" s="75"/>
      <c r="AY443" s="123"/>
      <c r="AZ443" s="67"/>
      <c r="BA443" s="138"/>
      <c r="BB443" s="67"/>
      <c r="BC443" s="67"/>
      <c r="BD443" s="67"/>
      <c r="BE443" s="67"/>
      <c r="BF443" s="67"/>
      <c r="BG443" s="67"/>
      <c r="BH443" s="67"/>
      <c r="BI443" s="67"/>
      <c r="BJ443" s="67"/>
      <c r="BK443" s="67"/>
      <c r="BL443" s="67"/>
      <c r="BM443" s="70"/>
      <c r="BN443" s="70"/>
      <c r="BO443" s="70"/>
      <c r="BP443" s="70"/>
      <c r="BQ443" s="70"/>
      <c r="BR443" s="70"/>
      <c r="BS443" s="70"/>
      <c r="BT443" s="70"/>
      <c r="BU443" s="70"/>
      <c r="BV443" s="70"/>
      <c r="BW443" s="70"/>
      <c r="BX443" s="136"/>
      <c r="BY443" s="70"/>
      <c r="BZ443" s="67"/>
      <c r="CA443" s="67"/>
      <c r="CB443" s="67"/>
    </row>
    <row r="444" spans="1:80" s="28" customFormat="1" ht="16" customHeight="1">
      <c r="A444" s="39"/>
      <c r="B444" s="57"/>
      <c r="C444" s="67"/>
      <c r="D444" s="67"/>
      <c r="E444" s="39"/>
      <c r="F444" s="39"/>
      <c r="G444" s="39"/>
      <c r="H444" s="67"/>
      <c r="I444" s="60"/>
      <c r="J444" s="60"/>
      <c r="K444" s="60"/>
      <c r="L444" s="60"/>
      <c r="M444" s="60"/>
      <c r="N444" s="60"/>
      <c r="O444" s="60"/>
      <c r="P444" s="60"/>
      <c r="Q444" s="60"/>
      <c r="R444" s="60"/>
      <c r="S444" s="70"/>
      <c r="T444" s="70"/>
      <c r="U444" s="70"/>
      <c r="V444" s="70"/>
      <c r="W444" s="70"/>
      <c r="X444" s="70"/>
      <c r="Y444" s="70"/>
      <c r="Z444" s="70"/>
      <c r="AA444" s="70"/>
      <c r="AB444" s="70"/>
      <c r="AC444" s="70"/>
      <c r="AD444" s="136"/>
      <c r="AE444" s="24"/>
      <c r="AF444" s="24"/>
      <c r="AG444" s="73"/>
      <c r="AH444" s="125"/>
      <c r="AI444" s="103"/>
      <c r="AK444" s="113"/>
      <c r="AL444" s="113"/>
      <c r="AM444" s="113"/>
      <c r="AN444" s="113"/>
      <c r="AO444" s="137"/>
      <c r="AP444" s="137"/>
      <c r="AQ444" s="137"/>
      <c r="AR444" s="137"/>
      <c r="AS444" s="137"/>
      <c r="AT444" s="137"/>
      <c r="AU444" s="67"/>
      <c r="AV444" s="44"/>
      <c r="AW444" s="67"/>
      <c r="AX444" s="75"/>
      <c r="AY444" s="123"/>
      <c r="AZ444" s="67"/>
      <c r="BA444" s="138"/>
      <c r="BB444" s="67"/>
      <c r="BC444" s="67"/>
      <c r="BD444" s="67"/>
      <c r="BE444" s="67"/>
      <c r="BF444" s="67"/>
      <c r="BG444" s="67"/>
      <c r="BH444" s="67"/>
      <c r="BI444" s="67"/>
      <c r="BJ444" s="67"/>
      <c r="BK444" s="67"/>
      <c r="BL444" s="67"/>
      <c r="BM444" s="70"/>
      <c r="BN444" s="70"/>
      <c r="BO444" s="70"/>
      <c r="BP444" s="70"/>
      <c r="BQ444" s="70"/>
      <c r="BR444" s="70"/>
      <c r="BS444" s="70"/>
      <c r="BT444" s="70"/>
      <c r="BU444" s="70"/>
      <c r="BV444" s="70"/>
      <c r="BW444" s="70"/>
      <c r="BX444" s="136"/>
      <c r="BY444" s="70"/>
      <c r="BZ444" s="67"/>
      <c r="CA444" s="67"/>
      <c r="CB444" s="67"/>
    </row>
    <row r="445" spans="1:80" s="28" customFormat="1" ht="16" customHeight="1">
      <c r="A445" s="39"/>
      <c r="B445" s="57"/>
      <c r="C445" s="67"/>
      <c r="D445" s="67"/>
      <c r="E445" s="39"/>
      <c r="F445" s="39"/>
      <c r="G445" s="39"/>
      <c r="H445" s="67"/>
      <c r="I445" s="60"/>
      <c r="J445" s="60"/>
      <c r="K445" s="60"/>
      <c r="L445" s="60"/>
      <c r="M445" s="60"/>
      <c r="N445" s="60"/>
      <c r="O445" s="60"/>
      <c r="P445" s="60"/>
      <c r="Q445" s="60"/>
      <c r="R445" s="60"/>
      <c r="S445" s="70"/>
      <c r="T445" s="70"/>
      <c r="U445" s="70"/>
      <c r="V445" s="70"/>
      <c r="W445" s="70"/>
      <c r="X445" s="70"/>
      <c r="Y445" s="70"/>
      <c r="Z445" s="70"/>
      <c r="AA445" s="70"/>
      <c r="AB445" s="70"/>
      <c r="AC445" s="70"/>
      <c r="AD445" s="136"/>
      <c r="AE445" s="24"/>
      <c r="AF445" s="24"/>
      <c r="AG445" s="73"/>
      <c r="AH445" s="125"/>
      <c r="AI445" s="103"/>
      <c r="AK445" s="113"/>
      <c r="AL445" s="113"/>
      <c r="AM445" s="113"/>
      <c r="AN445" s="113"/>
      <c r="AO445" s="137"/>
      <c r="AP445" s="137"/>
      <c r="AQ445" s="137"/>
      <c r="AR445" s="137"/>
      <c r="AS445" s="137"/>
      <c r="AT445" s="137"/>
      <c r="AU445" s="67"/>
      <c r="AV445" s="44"/>
      <c r="AW445" s="67"/>
      <c r="AX445" s="75"/>
      <c r="AY445" s="123"/>
      <c r="AZ445" s="67"/>
      <c r="BA445" s="138"/>
      <c r="BB445" s="67"/>
      <c r="BC445" s="67"/>
      <c r="BD445" s="67"/>
      <c r="BE445" s="67"/>
      <c r="BF445" s="67"/>
      <c r="BG445" s="67"/>
      <c r="BH445" s="67"/>
      <c r="BI445" s="67"/>
      <c r="BJ445" s="67"/>
      <c r="BK445" s="67"/>
      <c r="BL445" s="67"/>
      <c r="BM445" s="70"/>
      <c r="BN445" s="70"/>
      <c r="BO445" s="70"/>
      <c r="BP445" s="70"/>
      <c r="BQ445" s="70"/>
      <c r="BR445" s="70"/>
      <c r="BS445" s="70"/>
      <c r="BT445" s="70"/>
      <c r="BU445" s="70"/>
      <c r="BV445" s="70"/>
      <c r="BW445" s="70"/>
      <c r="BX445" s="136"/>
      <c r="BY445" s="70"/>
      <c r="BZ445" s="67"/>
      <c r="CA445" s="67"/>
      <c r="CB445" s="67"/>
    </row>
    <row r="446" spans="1:80" s="28" customFormat="1" ht="16" customHeight="1">
      <c r="A446" s="39"/>
      <c r="B446" s="57"/>
      <c r="C446" s="67"/>
      <c r="D446" s="67"/>
      <c r="E446" s="39"/>
      <c r="F446" s="39"/>
      <c r="G446" s="39"/>
      <c r="H446" s="67"/>
      <c r="I446" s="60"/>
      <c r="J446" s="60"/>
      <c r="K446" s="60"/>
      <c r="L446" s="60"/>
      <c r="M446" s="60"/>
      <c r="N446" s="60"/>
      <c r="O446" s="60"/>
      <c r="P446" s="60"/>
      <c r="Q446" s="60"/>
      <c r="R446" s="60"/>
      <c r="S446" s="70"/>
      <c r="T446" s="70"/>
      <c r="U446" s="70"/>
      <c r="V446" s="70"/>
      <c r="W446" s="70"/>
      <c r="X446" s="70"/>
      <c r="Y446" s="70"/>
      <c r="Z446" s="70"/>
      <c r="AA446" s="70"/>
      <c r="AB446" s="70"/>
      <c r="AC446" s="70"/>
      <c r="AD446" s="136"/>
      <c r="AE446" s="24"/>
      <c r="AF446" s="24"/>
      <c r="AG446" s="73"/>
      <c r="AH446" s="125"/>
      <c r="AI446" s="103"/>
      <c r="AK446" s="113"/>
      <c r="AL446" s="113"/>
      <c r="AM446" s="113"/>
      <c r="AN446" s="113"/>
      <c r="AO446" s="137"/>
      <c r="AP446" s="137"/>
      <c r="AQ446" s="137"/>
      <c r="AR446" s="137"/>
      <c r="AS446" s="137"/>
      <c r="AT446" s="137"/>
      <c r="AU446" s="67"/>
      <c r="AV446" s="44"/>
      <c r="AW446" s="67"/>
      <c r="AX446" s="75"/>
      <c r="AY446" s="123"/>
      <c r="AZ446" s="67"/>
      <c r="BA446" s="138"/>
      <c r="BB446" s="67"/>
      <c r="BC446" s="67"/>
      <c r="BD446" s="67"/>
      <c r="BE446" s="67"/>
      <c r="BF446" s="67"/>
      <c r="BG446" s="67"/>
      <c r="BH446" s="67"/>
      <c r="BI446" s="67"/>
      <c r="BJ446" s="67"/>
      <c r="BK446" s="67"/>
      <c r="BL446" s="67"/>
      <c r="BM446" s="70"/>
      <c r="BN446" s="70"/>
      <c r="BO446" s="70"/>
      <c r="BP446" s="70"/>
      <c r="BQ446" s="70"/>
      <c r="BR446" s="70"/>
      <c r="BS446" s="70"/>
      <c r="BT446" s="70"/>
      <c r="BU446" s="70"/>
      <c r="BV446" s="70"/>
      <c r="BW446" s="70"/>
      <c r="BX446" s="136"/>
      <c r="BY446" s="70"/>
      <c r="BZ446" s="67"/>
      <c r="CA446" s="67"/>
      <c r="CB446" s="67"/>
    </row>
    <row r="447" spans="1:80" s="28" customFormat="1" ht="16" customHeight="1">
      <c r="A447" s="39"/>
      <c r="B447" s="57"/>
      <c r="C447" s="67"/>
      <c r="D447" s="67"/>
      <c r="E447" s="39"/>
      <c r="F447" s="39"/>
      <c r="G447" s="39"/>
      <c r="H447" s="67"/>
      <c r="I447" s="60"/>
      <c r="J447" s="60"/>
      <c r="K447" s="60"/>
      <c r="L447" s="60"/>
      <c r="M447" s="60"/>
      <c r="N447" s="60"/>
      <c r="O447" s="60"/>
      <c r="P447" s="60"/>
      <c r="Q447" s="60"/>
      <c r="R447" s="60"/>
      <c r="S447" s="70"/>
      <c r="T447" s="70"/>
      <c r="U447" s="70"/>
      <c r="V447" s="70"/>
      <c r="W447" s="70"/>
      <c r="X447" s="70"/>
      <c r="Y447" s="70"/>
      <c r="Z447" s="70"/>
      <c r="AA447" s="70"/>
      <c r="AB447" s="70"/>
      <c r="AC447" s="70"/>
      <c r="AD447" s="136"/>
      <c r="AE447" s="24"/>
      <c r="AF447" s="24"/>
      <c r="AG447" s="73"/>
      <c r="AH447" s="125"/>
      <c r="AI447" s="103"/>
      <c r="AK447" s="113"/>
      <c r="AL447" s="113"/>
      <c r="AM447" s="113"/>
      <c r="AN447" s="113"/>
      <c r="AO447" s="137"/>
      <c r="AP447" s="137"/>
      <c r="AQ447" s="137"/>
      <c r="AR447" s="137"/>
      <c r="AS447" s="137"/>
      <c r="AT447" s="137"/>
      <c r="AU447" s="67"/>
      <c r="AV447" s="44"/>
      <c r="AW447" s="67"/>
      <c r="AX447" s="75"/>
      <c r="AY447" s="123"/>
      <c r="AZ447" s="67"/>
      <c r="BA447" s="138"/>
      <c r="BB447" s="67"/>
      <c r="BC447" s="67"/>
      <c r="BD447" s="67"/>
      <c r="BE447" s="67"/>
      <c r="BF447" s="67"/>
      <c r="BG447" s="67"/>
      <c r="BH447" s="67"/>
      <c r="BI447" s="67"/>
      <c r="BJ447" s="67"/>
      <c r="BK447" s="67"/>
      <c r="BL447" s="67"/>
      <c r="BM447" s="70"/>
      <c r="BN447" s="70"/>
      <c r="BO447" s="70"/>
      <c r="BP447" s="70"/>
      <c r="BQ447" s="70"/>
      <c r="BR447" s="70"/>
      <c r="BS447" s="70"/>
      <c r="BT447" s="70"/>
      <c r="BU447" s="70"/>
      <c r="BV447" s="70"/>
      <c r="BW447" s="70"/>
      <c r="BX447" s="136"/>
      <c r="BY447" s="70"/>
      <c r="BZ447" s="67"/>
      <c r="CA447" s="67"/>
      <c r="CB447" s="67"/>
    </row>
    <row r="448" spans="1:80" s="28" customFormat="1" ht="16" customHeight="1">
      <c r="A448" s="39"/>
      <c r="B448" s="57"/>
      <c r="C448" s="67"/>
      <c r="D448" s="67"/>
      <c r="E448" s="39"/>
      <c r="F448" s="39"/>
      <c r="G448" s="39"/>
      <c r="H448" s="67"/>
      <c r="I448" s="60"/>
      <c r="J448" s="60"/>
      <c r="K448" s="60"/>
      <c r="L448" s="60"/>
      <c r="M448" s="60"/>
      <c r="N448" s="60"/>
      <c r="O448" s="60"/>
      <c r="P448" s="60"/>
      <c r="Q448" s="60"/>
      <c r="R448" s="60"/>
      <c r="S448" s="70"/>
      <c r="T448" s="70"/>
      <c r="U448" s="70"/>
      <c r="V448" s="70"/>
      <c r="W448" s="70"/>
      <c r="X448" s="70"/>
      <c r="Y448" s="70"/>
      <c r="Z448" s="70"/>
      <c r="AA448" s="70"/>
      <c r="AB448" s="70"/>
      <c r="AC448" s="70"/>
      <c r="AD448" s="136"/>
      <c r="AE448" s="24"/>
      <c r="AF448" s="24"/>
      <c r="AG448" s="73"/>
      <c r="AH448" s="125"/>
      <c r="AI448" s="103"/>
      <c r="AK448" s="113"/>
      <c r="AL448" s="113"/>
      <c r="AM448" s="113"/>
      <c r="AN448" s="113"/>
      <c r="AO448" s="137"/>
      <c r="AP448" s="137"/>
      <c r="AQ448" s="137"/>
      <c r="AR448" s="137"/>
      <c r="AS448" s="137"/>
      <c r="AT448" s="137"/>
      <c r="AU448" s="67"/>
      <c r="AV448" s="44"/>
      <c r="AW448" s="67"/>
      <c r="AX448" s="75"/>
      <c r="AY448" s="123"/>
      <c r="AZ448" s="67"/>
      <c r="BA448" s="138"/>
      <c r="BB448" s="67"/>
      <c r="BC448" s="67"/>
      <c r="BD448" s="67"/>
      <c r="BE448" s="67"/>
      <c r="BF448" s="67"/>
      <c r="BG448" s="67"/>
      <c r="BH448" s="67"/>
      <c r="BI448" s="67"/>
      <c r="BJ448" s="67"/>
      <c r="BK448" s="67"/>
      <c r="BL448" s="67"/>
      <c r="BM448" s="70"/>
      <c r="BN448" s="70"/>
      <c r="BO448" s="70"/>
      <c r="BP448" s="70"/>
      <c r="BQ448" s="70"/>
      <c r="BR448" s="70"/>
      <c r="BS448" s="70"/>
      <c r="BT448" s="70"/>
      <c r="BU448" s="70"/>
      <c r="BV448" s="70"/>
      <c r="BW448" s="70"/>
      <c r="BX448" s="136"/>
      <c r="BY448" s="70"/>
      <c r="BZ448" s="67"/>
      <c r="CA448" s="67"/>
      <c r="CB448" s="67"/>
    </row>
    <row r="449" spans="1:80" s="28" customFormat="1" ht="16" customHeight="1">
      <c r="A449" s="39"/>
      <c r="B449" s="57"/>
      <c r="C449" s="67"/>
      <c r="D449" s="67"/>
      <c r="E449" s="39"/>
      <c r="F449" s="39"/>
      <c r="G449" s="39"/>
      <c r="H449" s="67"/>
      <c r="I449" s="60"/>
      <c r="J449" s="60"/>
      <c r="K449" s="60"/>
      <c r="L449" s="60"/>
      <c r="M449" s="60"/>
      <c r="N449" s="60"/>
      <c r="O449" s="60"/>
      <c r="P449" s="60"/>
      <c r="Q449" s="60"/>
      <c r="R449" s="60"/>
      <c r="S449" s="70"/>
      <c r="T449" s="70"/>
      <c r="U449" s="70"/>
      <c r="V449" s="70"/>
      <c r="W449" s="70"/>
      <c r="X449" s="70"/>
      <c r="Y449" s="70"/>
      <c r="Z449" s="70"/>
      <c r="AA449" s="70"/>
      <c r="AB449" s="70"/>
      <c r="AC449" s="70"/>
      <c r="AD449" s="136"/>
      <c r="AE449" s="24"/>
      <c r="AF449" s="24"/>
      <c r="AG449" s="73"/>
      <c r="AH449" s="125"/>
      <c r="AI449" s="103"/>
      <c r="AK449" s="113"/>
      <c r="AL449" s="113"/>
      <c r="AM449" s="113"/>
      <c r="AN449" s="113"/>
      <c r="AO449" s="137"/>
      <c r="AP449" s="137"/>
      <c r="AQ449" s="137"/>
      <c r="AR449" s="137"/>
      <c r="AS449" s="137"/>
      <c r="AT449" s="137"/>
      <c r="AU449" s="67"/>
      <c r="AV449" s="44"/>
      <c r="AW449" s="67"/>
      <c r="AX449" s="75"/>
      <c r="AY449" s="123"/>
      <c r="AZ449" s="67"/>
      <c r="BA449" s="138"/>
      <c r="BB449" s="67"/>
      <c r="BC449" s="67"/>
      <c r="BD449" s="67"/>
      <c r="BE449" s="67"/>
      <c r="BF449" s="67"/>
      <c r="BG449" s="67"/>
      <c r="BH449" s="67"/>
      <c r="BI449" s="67"/>
      <c r="BJ449" s="67"/>
      <c r="BK449" s="67"/>
      <c r="BL449" s="67"/>
      <c r="BM449" s="70"/>
      <c r="BN449" s="70"/>
      <c r="BO449" s="70"/>
      <c r="BP449" s="70"/>
      <c r="BQ449" s="70"/>
      <c r="BR449" s="70"/>
      <c r="BS449" s="70"/>
      <c r="BT449" s="70"/>
      <c r="BU449" s="70"/>
      <c r="BV449" s="70"/>
      <c r="BW449" s="70"/>
      <c r="BX449" s="136"/>
      <c r="BY449" s="70"/>
      <c r="BZ449" s="67"/>
      <c r="CA449" s="67"/>
      <c r="CB449" s="67"/>
    </row>
    <row r="450" spans="1:80" s="28" customFormat="1" ht="16" customHeight="1">
      <c r="A450" s="39"/>
      <c r="B450" s="57"/>
      <c r="C450" s="67"/>
      <c r="D450" s="67"/>
      <c r="E450" s="39"/>
      <c r="F450" s="39"/>
      <c r="G450" s="39"/>
      <c r="H450" s="67"/>
      <c r="I450" s="60"/>
      <c r="J450" s="60"/>
      <c r="K450" s="60"/>
      <c r="L450" s="60"/>
      <c r="M450" s="60"/>
      <c r="N450" s="60"/>
      <c r="O450" s="60"/>
      <c r="P450" s="60"/>
      <c r="Q450" s="60"/>
      <c r="R450" s="60"/>
      <c r="S450" s="70"/>
      <c r="T450" s="70"/>
      <c r="U450" s="70"/>
      <c r="V450" s="70"/>
      <c r="W450" s="70"/>
      <c r="X450" s="70"/>
      <c r="Y450" s="70"/>
      <c r="Z450" s="70"/>
      <c r="AA450" s="70"/>
      <c r="AB450" s="70"/>
      <c r="AC450" s="70"/>
      <c r="AD450" s="136"/>
      <c r="AE450" s="24"/>
      <c r="AF450" s="24"/>
      <c r="AG450" s="73"/>
      <c r="AH450" s="125"/>
      <c r="AI450" s="103"/>
      <c r="AK450" s="113"/>
      <c r="AL450" s="113"/>
      <c r="AM450" s="113"/>
      <c r="AN450" s="113"/>
      <c r="AO450" s="137"/>
      <c r="AP450" s="137"/>
      <c r="AQ450" s="137"/>
      <c r="AR450" s="137"/>
      <c r="AS450" s="137"/>
      <c r="AT450" s="137"/>
      <c r="AU450" s="67"/>
      <c r="AV450" s="44"/>
      <c r="AW450" s="67"/>
      <c r="AX450" s="75"/>
      <c r="AY450" s="123"/>
      <c r="AZ450" s="67"/>
      <c r="BA450" s="138"/>
      <c r="BB450" s="67"/>
      <c r="BC450" s="67"/>
      <c r="BD450" s="67"/>
      <c r="BE450" s="67"/>
      <c r="BF450" s="67"/>
      <c r="BG450" s="67"/>
      <c r="BH450" s="67"/>
      <c r="BI450" s="67"/>
      <c r="BJ450" s="67"/>
      <c r="BK450" s="67"/>
      <c r="BL450" s="67"/>
      <c r="BM450" s="70"/>
      <c r="BN450" s="70"/>
      <c r="BO450" s="70"/>
      <c r="BP450" s="70"/>
      <c r="BQ450" s="70"/>
      <c r="BR450" s="70"/>
      <c r="BS450" s="70"/>
      <c r="BT450" s="70"/>
      <c r="BU450" s="70"/>
      <c r="BV450" s="70"/>
      <c r="BW450" s="70"/>
      <c r="BX450" s="136"/>
      <c r="BY450" s="70"/>
      <c r="BZ450" s="67"/>
      <c r="CA450" s="67"/>
      <c r="CB450" s="67"/>
    </row>
    <row r="451" spans="1:80" s="28" customFormat="1" ht="16" customHeight="1">
      <c r="A451" s="39"/>
      <c r="B451" s="57"/>
      <c r="C451" s="67"/>
      <c r="D451" s="67"/>
      <c r="E451" s="39"/>
      <c r="F451" s="39"/>
      <c r="G451" s="39"/>
      <c r="H451" s="67"/>
      <c r="I451" s="60"/>
      <c r="J451" s="60"/>
      <c r="K451" s="60"/>
      <c r="L451" s="60"/>
      <c r="M451" s="60"/>
      <c r="N451" s="60"/>
      <c r="O451" s="60"/>
      <c r="P451" s="60"/>
      <c r="Q451" s="60"/>
      <c r="R451" s="60"/>
      <c r="S451" s="70"/>
      <c r="T451" s="70"/>
      <c r="U451" s="70"/>
      <c r="V451" s="70"/>
      <c r="W451" s="70"/>
      <c r="X451" s="70"/>
      <c r="Y451" s="70"/>
      <c r="Z451" s="70"/>
      <c r="AA451" s="70"/>
      <c r="AB451" s="70"/>
      <c r="AC451" s="70"/>
      <c r="AD451" s="136"/>
      <c r="AE451" s="24"/>
      <c r="AF451" s="24"/>
      <c r="AG451" s="73"/>
      <c r="AH451" s="125"/>
      <c r="AI451" s="103"/>
      <c r="AK451" s="113"/>
      <c r="AL451" s="113"/>
      <c r="AM451" s="113"/>
      <c r="AN451" s="113"/>
      <c r="AO451" s="137"/>
      <c r="AP451" s="137"/>
      <c r="AQ451" s="137"/>
      <c r="AR451" s="137"/>
      <c r="AS451" s="137"/>
      <c r="AT451" s="137"/>
      <c r="AU451" s="67"/>
      <c r="AV451" s="44"/>
      <c r="AW451" s="67"/>
      <c r="AX451" s="75"/>
      <c r="AY451" s="123"/>
      <c r="AZ451" s="67"/>
      <c r="BA451" s="138"/>
      <c r="BB451" s="67"/>
      <c r="BC451" s="67"/>
      <c r="BD451" s="67"/>
      <c r="BE451" s="67"/>
      <c r="BF451" s="67"/>
      <c r="BG451" s="67"/>
      <c r="BH451" s="67"/>
      <c r="BI451" s="67"/>
      <c r="BJ451" s="67"/>
      <c r="BK451" s="67"/>
      <c r="BL451" s="67"/>
      <c r="BM451" s="70"/>
      <c r="BN451" s="70"/>
      <c r="BO451" s="70"/>
      <c r="BP451" s="70"/>
      <c r="BQ451" s="70"/>
      <c r="BR451" s="70"/>
      <c r="BS451" s="70"/>
      <c r="BT451" s="70"/>
      <c r="BU451" s="70"/>
      <c r="BV451" s="70"/>
      <c r="BW451" s="70"/>
      <c r="BX451" s="136"/>
      <c r="BY451" s="70"/>
      <c r="BZ451" s="67"/>
      <c r="CA451" s="67"/>
      <c r="CB451" s="67"/>
    </row>
    <row r="452" spans="1:80" s="28" customFormat="1" ht="16" customHeight="1">
      <c r="A452" s="39"/>
      <c r="B452" s="57"/>
      <c r="C452" s="67"/>
      <c r="D452" s="67"/>
      <c r="E452" s="39"/>
      <c r="F452" s="39"/>
      <c r="G452" s="39"/>
      <c r="H452" s="67"/>
      <c r="I452" s="60"/>
      <c r="J452" s="60"/>
      <c r="K452" s="60"/>
      <c r="L452" s="60"/>
      <c r="M452" s="60"/>
      <c r="N452" s="60"/>
      <c r="O452" s="60"/>
      <c r="P452" s="60"/>
      <c r="Q452" s="60"/>
      <c r="R452" s="60"/>
      <c r="S452" s="70"/>
      <c r="T452" s="70"/>
      <c r="U452" s="70"/>
      <c r="V452" s="70"/>
      <c r="W452" s="70"/>
      <c r="X452" s="70"/>
      <c r="Y452" s="70"/>
      <c r="Z452" s="70"/>
      <c r="AA452" s="70"/>
      <c r="AB452" s="70"/>
      <c r="AC452" s="70"/>
      <c r="AD452" s="136"/>
      <c r="AE452" s="24"/>
      <c r="AF452" s="24"/>
      <c r="AG452" s="73"/>
      <c r="AH452" s="125"/>
      <c r="AI452" s="103"/>
      <c r="AK452" s="113"/>
      <c r="AL452" s="113"/>
      <c r="AM452" s="113"/>
      <c r="AN452" s="113"/>
      <c r="AO452" s="137"/>
      <c r="AP452" s="137"/>
      <c r="AQ452" s="137"/>
      <c r="AR452" s="137"/>
      <c r="AS452" s="137"/>
      <c r="AT452" s="137"/>
      <c r="AU452" s="67"/>
      <c r="AV452" s="44"/>
      <c r="AW452" s="67"/>
      <c r="AX452" s="75"/>
      <c r="AY452" s="123"/>
      <c r="AZ452" s="67"/>
      <c r="BA452" s="138"/>
      <c r="BB452" s="67"/>
      <c r="BC452" s="67"/>
      <c r="BD452" s="67"/>
      <c r="BE452" s="67"/>
      <c r="BF452" s="67"/>
      <c r="BG452" s="67"/>
      <c r="BH452" s="67"/>
      <c r="BI452" s="67"/>
      <c r="BJ452" s="67"/>
      <c r="BK452" s="67"/>
      <c r="BL452" s="67"/>
      <c r="BM452" s="70"/>
      <c r="BN452" s="70"/>
      <c r="BO452" s="70"/>
      <c r="BP452" s="70"/>
      <c r="BQ452" s="70"/>
      <c r="BR452" s="70"/>
      <c r="BS452" s="70"/>
      <c r="BT452" s="70"/>
      <c r="BU452" s="70"/>
      <c r="BV452" s="70"/>
      <c r="BW452" s="70"/>
      <c r="BX452" s="136"/>
      <c r="BY452" s="70"/>
      <c r="BZ452" s="67"/>
      <c r="CA452" s="67"/>
      <c r="CB452" s="67"/>
    </row>
    <row r="453" spans="1:80" s="28" customFormat="1" ht="16" customHeight="1">
      <c r="A453" s="39"/>
      <c r="B453" s="57"/>
      <c r="C453" s="67"/>
      <c r="D453" s="67"/>
      <c r="E453" s="39"/>
      <c r="F453" s="39"/>
      <c r="G453" s="39"/>
      <c r="H453" s="67"/>
      <c r="I453" s="60"/>
      <c r="J453" s="60"/>
      <c r="K453" s="60"/>
      <c r="L453" s="60"/>
      <c r="M453" s="60"/>
      <c r="N453" s="60"/>
      <c r="O453" s="60"/>
      <c r="P453" s="60"/>
      <c r="Q453" s="60"/>
      <c r="R453" s="60"/>
      <c r="S453" s="70"/>
      <c r="T453" s="70"/>
      <c r="U453" s="70"/>
      <c r="V453" s="70"/>
      <c r="W453" s="70"/>
      <c r="X453" s="70"/>
      <c r="Y453" s="70"/>
      <c r="Z453" s="70"/>
      <c r="AA453" s="70"/>
      <c r="AB453" s="70"/>
      <c r="AC453" s="70"/>
      <c r="AD453" s="136"/>
      <c r="AE453" s="24"/>
      <c r="AF453" s="24"/>
      <c r="AG453" s="73"/>
      <c r="AH453" s="125"/>
      <c r="AI453" s="103"/>
      <c r="AK453" s="113"/>
      <c r="AL453" s="113"/>
      <c r="AM453" s="113"/>
      <c r="AN453" s="113"/>
      <c r="AO453" s="137"/>
      <c r="AP453" s="137"/>
      <c r="AQ453" s="137"/>
      <c r="AR453" s="137"/>
      <c r="AS453" s="137"/>
      <c r="AT453" s="137"/>
      <c r="AU453" s="67"/>
      <c r="AV453" s="44"/>
      <c r="AW453" s="67"/>
      <c r="AX453" s="75"/>
      <c r="AY453" s="123"/>
      <c r="AZ453" s="67"/>
      <c r="BA453" s="138"/>
      <c r="BB453" s="67"/>
      <c r="BC453" s="67"/>
      <c r="BD453" s="67"/>
      <c r="BE453" s="67"/>
      <c r="BF453" s="67"/>
      <c r="BG453" s="67"/>
      <c r="BH453" s="67"/>
      <c r="BI453" s="67"/>
      <c r="BJ453" s="67"/>
      <c r="BK453" s="67"/>
      <c r="BL453" s="67"/>
      <c r="BM453" s="70"/>
      <c r="BN453" s="70"/>
      <c r="BO453" s="70"/>
      <c r="BP453" s="70"/>
      <c r="BQ453" s="70"/>
      <c r="BR453" s="70"/>
      <c r="BS453" s="70"/>
      <c r="BT453" s="70"/>
      <c r="BU453" s="70"/>
      <c r="BV453" s="70"/>
      <c r="BW453" s="70"/>
      <c r="BX453" s="136"/>
      <c r="BY453" s="70"/>
      <c r="BZ453" s="67"/>
      <c r="CA453" s="67"/>
      <c r="CB453" s="67"/>
    </row>
    <row r="454" spans="1:80" s="28" customFormat="1" ht="16" customHeight="1">
      <c r="A454" s="39"/>
      <c r="B454" s="57"/>
      <c r="C454" s="67"/>
      <c r="D454" s="67"/>
      <c r="E454" s="39"/>
      <c r="F454" s="39"/>
      <c r="G454" s="39"/>
      <c r="H454" s="67"/>
      <c r="I454" s="60"/>
      <c r="J454" s="60"/>
      <c r="K454" s="60"/>
      <c r="L454" s="60"/>
      <c r="M454" s="60"/>
      <c r="N454" s="60"/>
      <c r="O454" s="60"/>
      <c r="P454" s="60"/>
      <c r="Q454" s="60"/>
      <c r="R454" s="60"/>
      <c r="S454" s="70"/>
      <c r="T454" s="70"/>
      <c r="U454" s="70"/>
      <c r="V454" s="70"/>
      <c r="W454" s="70"/>
      <c r="X454" s="70"/>
      <c r="Y454" s="70"/>
      <c r="Z454" s="70"/>
      <c r="AA454" s="70"/>
      <c r="AB454" s="70"/>
      <c r="AC454" s="70"/>
      <c r="AD454" s="136"/>
      <c r="AE454" s="24"/>
      <c r="AF454" s="24"/>
      <c r="AG454" s="73"/>
      <c r="AH454" s="125"/>
      <c r="AI454" s="103"/>
      <c r="AK454" s="113"/>
      <c r="AL454" s="113"/>
      <c r="AM454" s="113"/>
      <c r="AN454" s="113"/>
      <c r="AO454" s="137"/>
      <c r="AP454" s="137"/>
      <c r="AQ454" s="137"/>
      <c r="AR454" s="137"/>
      <c r="AS454" s="137"/>
      <c r="AT454" s="137"/>
      <c r="AU454" s="67"/>
      <c r="AV454" s="44"/>
      <c r="AW454" s="67"/>
      <c r="AX454" s="75"/>
      <c r="AY454" s="123"/>
      <c r="AZ454" s="67"/>
      <c r="BA454" s="138"/>
      <c r="BB454" s="67"/>
      <c r="BC454" s="67"/>
      <c r="BD454" s="67"/>
      <c r="BE454" s="67"/>
      <c r="BF454" s="67"/>
      <c r="BG454" s="67"/>
      <c r="BH454" s="67"/>
      <c r="BI454" s="67"/>
      <c r="BJ454" s="67"/>
      <c r="BK454" s="67"/>
      <c r="BL454" s="67"/>
      <c r="BM454" s="70"/>
      <c r="BN454" s="70"/>
      <c r="BO454" s="70"/>
      <c r="BP454" s="70"/>
      <c r="BQ454" s="70"/>
      <c r="BR454" s="70"/>
      <c r="BS454" s="70"/>
      <c r="BT454" s="70"/>
      <c r="BU454" s="70"/>
      <c r="BV454" s="70"/>
      <c r="BW454" s="70"/>
      <c r="BX454" s="136"/>
      <c r="BY454" s="70"/>
      <c r="BZ454" s="67"/>
      <c r="CA454" s="67"/>
      <c r="CB454" s="67"/>
    </row>
    <row r="455" spans="1:80" s="28" customFormat="1" ht="16" customHeight="1">
      <c r="A455" s="39"/>
      <c r="B455" s="57"/>
      <c r="C455" s="67"/>
      <c r="D455" s="67"/>
      <c r="E455" s="39"/>
      <c r="F455" s="39"/>
      <c r="G455" s="39"/>
      <c r="H455" s="67"/>
      <c r="I455" s="60"/>
      <c r="J455" s="60"/>
      <c r="K455" s="60"/>
      <c r="L455" s="60"/>
      <c r="M455" s="60"/>
      <c r="N455" s="60"/>
      <c r="O455" s="60"/>
      <c r="P455" s="60"/>
      <c r="Q455" s="60"/>
      <c r="R455" s="60"/>
      <c r="S455" s="70"/>
      <c r="T455" s="70"/>
      <c r="U455" s="70"/>
      <c r="V455" s="70"/>
      <c r="W455" s="70"/>
      <c r="X455" s="70"/>
      <c r="Y455" s="70"/>
      <c r="Z455" s="70"/>
      <c r="AA455" s="70"/>
      <c r="AB455" s="70"/>
      <c r="AC455" s="70"/>
      <c r="AD455" s="136"/>
      <c r="AE455" s="24"/>
      <c r="AF455" s="24"/>
      <c r="AG455" s="73"/>
      <c r="AH455" s="125"/>
      <c r="AI455" s="103"/>
      <c r="AK455" s="113"/>
      <c r="AL455" s="113"/>
      <c r="AM455" s="113"/>
      <c r="AN455" s="113"/>
      <c r="AO455" s="137"/>
      <c r="AP455" s="137"/>
      <c r="AQ455" s="137"/>
      <c r="AR455" s="137"/>
      <c r="AS455" s="137"/>
      <c r="AT455" s="137"/>
      <c r="AU455" s="67"/>
      <c r="AV455" s="44"/>
      <c r="AW455" s="67"/>
      <c r="AX455" s="75"/>
      <c r="AY455" s="123"/>
      <c r="AZ455" s="67"/>
      <c r="BA455" s="138"/>
      <c r="BB455" s="67"/>
      <c r="BC455" s="67"/>
      <c r="BD455" s="67"/>
      <c r="BE455" s="67"/>
      <c r="BF455" s="67"/>
      <c r="BG455" s="67"/>
      <c r="BH455" s="67"/>
      <c r="BI455" s="67"/>
      <c r="BJ455" s="67"/>
      <c r="BK455" s="67"/>
      <c r="BL455" s="67"/>
      <c r="BM455" s="70"/>
      <c r="BN455" s="70"/>
      <c r="BO455" s="70"/>
      <c r="BP455" s="70"/>
      <c r="BQ455" s="70"/>
      <c r="BR455" s="70"/>
      <c r="BS455" s="70"/>
      <c r="BT455" s="70"/>
      <c r="BU455" s="70"/>
      <c r="BV455" s="70"/>
      <c r="BW455" s="70"/>
      <c r="BX455" s="136"/>
      <c r="BY455" s="70"/>
      <c r="BZ455" s="67"/>
      <c r="CA455" s="67"/>
      <c r="CB455" s="67"/>
    </row>
    <row r="456" spans="1:80" s="28" customFormat="1" ht="16" customHeight="1">
      <c r="A456" s="39"/>
      <c r="B456" s="57"/>
      <c r="C456" s="67"/>
      <c r="D456" s="67"/>
      <c r="E456" s="39"/>
      <c r="F456" s="39"/>
      <c r="G456" s="39"/>
      <c r="H456" s="67"/>
      <c r="I456" s="60"/>
      <c r="J456" s="60"/>
      <c r="K456" s="60"/>
      <c r="L456" s="60"/>
      <c r="M456" s="60"/>
      <c r="N456" s="60"/>
      <c r="O456" s="60"/>
      <c r="P456" s="60"/>
      <c r="Q456" s="60"/>
      <c r="R456" s="60"/>
      <c r="S456" s="70"/>
      <c r="T456" s="70"/>
      <c r="U456" s="70"/>
      <c r="V456" s="70"/>
      <c r="W456" s="70"/>
      <c r="X456" s="70"/>
      <c r="Y456" s="70"/>
      <c r="Z456" s="70"/>
      <c r="AA456" s="70"/>
      <c r="AB456" s="70"/>
      <c r="AC456" s="70"/>
      <c r="AD456" s="136"/>
      <c r="AE456" s="24"/>
      <c r="AF456" s="24"/>
      <c r="AG456" s="73"/>
      <c r="AH456" s="125"/>
      <c r="AI456" s="103"/>
      <c r="AK456" s="113"/>
      <c r="AL456" s="113"/>
      <c r="AM456" s="113"/>
      <c r="AN456" s="113"/>
      <c r="AO456" s="137"/>
      <c r="AP456" s="137"/>
      <c r="AQ456" s="137"/>
      <c r="AR456" s="137"/>
      <c r="AS456" s="137"/>
      <c r="AT456" s="137"/>
      <c r="AU456" s="67"/>
      <c r="AV456" s="44"/>
      <c r="AW456" s="67"/>
      <c r="AX456" s="75"/>
      <c r="AY456" s="123"/>
      <c r="AZ456" s="67"/>
      <c r="BA456" s="138"/>
      <c r="BB456" s="67"/>
      <c r="BC456" s="67"/>
      <c r="BD456" s="67"/>
      <c r="BE456" s="67"/>
      <c r="BF456" s="67"/>
      <c r="BG456" s="67"/>
      <c r="BH456" s="67"/>
      <c r="BI456" s="67"/>
      <c r="BJ456" s="67"/>
      <c r="BK456" s="67"/>
      <c r="BL456" s="67"/>
      <c r="BM456" s="70"/>
      <c r="BN456" s="70"/>
      <c r="BO456" s="70"/>
      <c r="BP456" s="70"/>
      <c r="BQ456" s="70"/>
      <c r="BR456" s="70"/>
      <c r="BS456" s="70"/>
      <c r="BT456" s="70"/>
      <c r="BU456" s="70"/>
      <c r="BV456" s="70"/>
      <c r="BW456" s="70"/>
      <c r="BX456" s="136"/>
      <c r="BY456" s="70"/>
      <c r="BZ456" s="67"/>
      <c r="CA456" s="67"/>
      <c r="CB456" s="67"/>
    </row>
    <row r="457" spans="1:80" s="28" customFormat="1" ht="16" customHeight="1">
      <c r="A457" s="39"/>
      <c r="B457" s="57"/>
      <c r="C457" s="67"/>
      <c r="D457" s="67"/>
      <c r="E457" s="39"/>
      <c r="F457" s="39"/>
      <c r="G457" s="39"/>
      <c r="H457" s="67"/>
      <c r="I457" s="60"/>
      <c r="J457" s="60"/>
      <c r="K457" s="60"/>
      <c r="L457" s="60"/>
      <c r="M457" s="60"/>
      <c r="N457" s="60"/>
      <c r="O457" s="60"/>
      <c r="P457" s="60"/>
      <c r="Q457" s="60"/>
      <c r="R457" s="60"/>
      <c r="S457" s="70"/>
      <c r="T457" s="70"/>
      <c r="U457" s="70"/>
      <c r="V457" s="70"/>
      <c r="W457" s="70"/>
      <c r="X457" s="70"/>
      <c r="Y457" s="70"/>
      <c r="Z457" s="70"/>
      <c r="AA457" s="70"/>
      <c r="AB457" s="70"/>
      <c r="AC457" s="70"/>
      <c r="AD457" s="136"/>
      <c r="AE457" s="24"/>
      <c r="AF457" s="24"/>
      <c r="AG457" s="73"/>
      <c r="AH457" s="125"/>
      <c r="AI457" s="103"/>
      <c r="AK457" s="113"/>
      <c r="AL457" s="113"/>
      <c r="AM457" s="113"/>
      <c r="AN457" s="113"/>
      <c r="AO457" s="137"/>
      <c r="AP457" s="137"/>
      <c r="AQ457" s="137"/>
      <c r="AR457" s="137"/>
      <c r="AS457" s="137"/>
      <c r="AT457" s="137"/>
      <c r="AU457" s="67"/>
      <c r="AV457" s="44"/>
      <c r="AW457" s="67"/>
      <c r="AX457" s="75"/>
      <c r="AY457" s="123"/>
      <c r="AZ457" s="67"/>
      <c r="BA457" s="138"/>
      <c r="BB457" s="67"/>
      <c r="BC457" s="67"/>
      <c r="BD457" s="67"/>
      <c r="BE457" s="67"/>
      <c r="BF457" s="67"/>
      <c r="BG457" s="67"/>
      <c r="BH457" s="67"/>
      <c r="BI457" s="67"/>
      <c r="BJ457" s="67"/>
      <c r="BK457" s="67"/>
      <c r="BL457" s="67"/>
      <c r="BM457" s="70"/>
      <c r="BN457" s="70"/>
      <c r="BO457" s="70"/>
      <c r="BP457" s="70"/>
      <c r="BQ457" s="70"/>
      <c r="BR457" s="70"/>
      <c r="BS457" s="70"/>
      <c r="BT457" s="70"/>
      <c r="BU457" s="70"/>
      <c r="BV457" s="70"/>
      <c r="BW457" s="70"/>
      <c r="BX457" s="136"/>
      <c r="BY457" s="70"/>
      <c r="BZ457" s="67"/>
      <c r="CA457" s="67"/>
      <c r="CB457" s="67"/>
    </row>
    <row r="458" spans="1:80" s="28" customFormat="1" ht="16" customHeight="1">
      <c r="A458" s="39"/>
      <c r="B458" s="57"/>
      <c r="C458" s="67"/>
      <c r="D458" s="67"/>
      <c r="E458" s="39"/>
      <c r="F458" s="39"/>
      <c r="G458" s="39"/>
      <c r="H458" s="67"/>
      <c r="I458" s="60"/>
      <c r="J458" s="60"/>
      <c r="K458" s="60"/>
      <c r="L458" s="60"/>
      <c r="M458" s="60"/>
      <c r="N458" s="60"/>
      <c r="O458" s="60"/>
      <c r="P458" s="60"/>
      <c r="Q458" s="60"/>
      <c r="R458" s="60"/>
      <c r="S458" s="70"/>
      <c r="T458" s="70"/>
      <c r="U458" s="70"/>
      <c r="V458" s="70"/>
      <c r="W458" s="70"/>
      <c r="X458" s="70"/>
      <c r="Y458" s="70"/>
      <c r="Z458" s="70"/>
      <c r="AA458" s="70"/>
      <c r="AB458" s="70"/>
      <c r="AC458" s="70"/>
      <c r="AD458" s="136"/>
      <c r="AE458" s="24"/>
      <c r="AF458" s="24"/>
      <c r="AG458" s="73"/>
      <c r="AH458" s="125"/>
      <c r="AI458" s="103"/>
      <c r="AK458" s="113"/>
      <c r="AL458" s="113"/>
      <c r="AM458" s="113"/>
      <c r="AN458" s="113"/>
      <c r="AO458" s="137"/>
      <c r="AP458" s="137"/>
      <c r="AQ458" s="137"/>
      <c r="AR458" s="137"/>
      <c r="AS458" s="137"/>
      <c r="AT458" s="137"/>
      <c r="AU458" s="67"/>
      <c r="AV458" s="44"/>
      <c r="AW458" s="67"/>
      <c r="AX458" s="75"/>
      <c r="AY458" s="123"/>
      <c r="AZ458" s="67"/>
      <c r="BA458" s="138"/>
      <c r="BB458" s="67"/>
      <c r="BC458" s="67"/>
      <c r="BD458" s="67"/>
      <c r="BE458" s="67"/>
      <c r="BF458" s="67"/>
      <c r="BG458" s="67"/>
      <c r="BH458" s="67"/>
      <c r="BI458" s="67"/>
      <c r="BJ458" s="67"/>
      <c r="BK458" s="67"/>
      <c r="BL458" s="67"/>
      <c r="BM458" s="70"/>
      <c r="BN458" s="70"/>
      <c r="BO458" s="70"/>
      <c r="BP458" s="70"/>
      <c r="BQ458" s="70"/>
      <c r="BR458" s="70"/>
      <c r="BS458" s="70"/>
      <c r="BT458" s="70"/>
      <c r="BU458" s="70"/>
      <c r="BV458" s="70"/>
      <c r="BW458" s="70"/>
      <c r="BX458" s="136"/>
      <c r="BY458" s="70"/>
      <c r="BZ458" s="67"/>
      <c r="CA458" s="67"/>
      <c r="CB458" s="67"/>
    </row>
    <row r="459" spans="1:80" s="28" customFormat="1" ht="16" customHeight="1">
      <c r="A459" s="39"/>
      <c r="B459" s="57"/>
      <c r="C459" s="67"/>
      <c r="D459" s="67"/>
      <c r="E459" s="39"/>
      <c r="F459" s="39"/>
      <c r="G459" s="39"/>
      <c r="H459" s="67"/>
      <c r="I459" s="60"/>
      <c r="J459" s="60"/>
      <c r="K459" s="60"/>
      <c r="L459" s="60"/>
      <c r="M459" s="60"/>
      <c r="N459" s="60"/>
      <c r="O459" s="60"/>
      <c r="P459" s="60"/>
      <c r="Q459" s="60"/>
      <c r="R459" s="60"/>
      <c r="S459" s="70"/>
      <c r="T459" s="70"/>
      <c r="U459" s="70"/>
      <c r="V459" s="70"/>
      <c r="W459" s="70"/>
      <c r="X459" s="70"/>
      <c r="Y459" s="70"/>
      <c r="Z459" s="70"/>
      <c r="AA459" s="70"/>
      <c r="AB459" s="70"/>
      <c r="AC459" s="70"/>
      <c r="AD459" s="136"/>
      <c r="AE459" s="24"/>
      <c r="AF459" s="24"/>
      <c r="AG459" s="73"/>
      <c r="AH459" s="125"/>
      <c r="AI459" s="103"/>
      <c r="AK459" s="113"/>
      <c r="AL459" s="113"/>
      <c r="AM459" s="113"/>
      <c r="AN459" s="113"/>
      <c r="AO459" s="137"/>
      <c r="AP459" s="137"/>
      <c r="AQ459" s="137"/>
      <c r="AR459" s="137"/>
      <c r="AS459" s="137"/>
      <c r="AT459" s="137"/>
      <c r="AU459" s="67"/>
      <c r="AV459" s="44"/>
      <c r="AW459" s="67"/>
      <c r="AX459" s="75"/>
      <c r="AY459" s="123"/>
      <c r="AZ459" s="67"/>
      <c r="BA459" s="138"/>
      <c r="BB459" s="67"/>
      <c r="BC459" s="67"/>
      <c r="BD459" s="67"/>
      <c r="BE459" s="67"/>
      <c r="BF459" s="67"/>
      <c r="BG459" s="67"/>
      <c r="BH459" s="67"/>
      <c r="BI459" s="67"/>
      <c r="BJ459" s="67"/>
      <c r="BK459" s="67"/>
      <c r="BL459" s="67"/>
      <c r="BM459" s="70"/>
      <c r="BN459" s="70"/>
      <c r="BO459" s="70"/>
      <c r="BP459" s="70"/>
      <c r="BQ459" s="70"/>
      <c r="BR459" s="70"/>
      <c r="BS459" s="70"/>
      <c r="BT459" s="70"/>
      <c r="BU459" s="70"/>
      <c r="BV459" s="70"/>
      <c r="BW459" s="70"/>
      <c r="BX459" s="136"/>
      <c r="BY459" s="70"/>
      <c r="BZ459" s="67"/>
      <c r="CA459" s="67"/>
      <c r="CB459" s="67"/>
    </row>
    <row r="460" spans="1:80" s="28" customFormat="1" ht="16" customHeight="1">
      <c r="A460" s="39"/>
      <c r="B460" s="57"/>
      <c r="C460" s="67"/>
      <c r="D460" s="67"/>
      <c r="E460" s="39"/>
      <c r="F460" s="39"/>
      <c r="G460" s="39"/>
      <c r="H460" s="67"/>
      <c r="I460" s="60"/>
      <c r="J460" s="60"/>
      <c r="K460" s="60"/>
      <c r="L460" s="60"/>
      <c r="M460" s="60"/>
      <c r="N460" s="60"/>
      <c r="O460" s="60"/>
      <c r="P460" s="60"/>
      <c r="Q460" s="60"/>
      <c r="R460" s="60"/>
      <c r="S460" s="70"/>
      <c r="T460" s="70"/>
      <c r="U460" s="70"/>
      <c r="V460" s="70"/>
      <c r="W460" s="70"/>
      <c r="X460" s="70"/>
      <c r="Y460" s="70"/>
      <c r="Z460" s="70"/>
      <c r="AA460" s="70"/>
      <c r="AB460" s="70"/>
      <c r="AC460" s="70"/>
      <c r="AD460" s="136"/>
      <c r="AE460" s="24"/>
      <c r="AF460" s="24"/>
      <c r="AG460" s="73"/>
      <c r="AH460" s="125"/>
      <c r="AI460" s="103"/>
      <c r="AK460" s="113"/>
      <c r="AL460" s="113"/>
      <c r="AM460" s="113"/>
      <c r="AN460" s="113"/>
      <c r="AO460" s="137"/>
      <c r="AP460" s="137"/>
      <c r="AQ460" s="137"/>
      <c r="AR460" s="137"/>
      <c r="AS460" s="137"/>
      <c r="AT460" s="137"/>
      <c r="AU460" s="67"/>
      <c r="AV460" s="44"/>
      <c r="AW460" s="67"/>
      <c r="AX460" s="75"/>
      <c r="AY460" s="123"/>
      <c r="AZ460" s="67"/>
      <c r="BA460" s="138"/>
      <c r="BB460" s="67"/>
      <c r="BC460" s="67"/>
      <c r="BD460" s="67"/>
      <c r="BE460" s="67"/>
      <c r="BF460" s="67"/>
      <c r="BG460" s="67"/>
      <c r="BH460" s="67"/>
      <c r="BI460" s="67"/>
      <c r="BJ460" s="67"/>
      <c r="BK460" s="67"/>
      <c r="BL460" s="67"/>
      <c r="BM460" s="70"/>
      <c r="BN460" s="70"/>
      <c r="BO460" s="70"/>
      <c r="BP460" s="70"/>
      <c r="BQ460" s="70"/>
      <c r="BR460" s="70"/>
      <c r="BS460" s="70"/>
      <c r="BT460" s="70"/>
      <c r="BU460" s="70"/>
      <c r="BV460" s="70"/>
      <c r="BW460" s="70"/>
      <c r="BX460" s="136"/>
      <c r="BY460" s="70"/>
      <c r="BZ460" s="67"/>
      <c r="CA460" s="67"/>
      <c r="CB460" s="67"/>
    </row>
    <row r="461" spans="1:80" s="28" customFormat="1" ht="16" customHeight="1">
      <c r="A461" s="39"/>
      <c r="B461" s="57"/>
      <c r="C461" s="67"/>
      <c r="D461" s="67"/>
      <c r="E461" s="39"/>
      <c r="F461" s="39"/>
      <c r="G461" s="39"/>
      <c r="H461" s="67"/>
      <c r="I461" s="60"/>
      <c r="J461" s="60"/>
      <c r="K461" s="60"/>
      <c r="L461" s="60"/>
      <c r="M461" s="60"/>
      <c r="N461" s="60"/>
      <c r="O461" s="60"/>
      <c r="P461" s="60"/>
      <c r="Q461" s="60"/>
      <c r="R461" s="60"/>
      <c r="S461" s="70"/>
      <c r="T461" s="70"/>
      <c r="U461" s="70"/>
      <c r="V461" s="70"/>
      <c r="W461" s="70"/>
      <c r="X461" s="70"/>
      <c r="Y461" s="70"/>
      <c r="Z461" s="70"/>
      <c r="AA461" s="70"/>
      <c r="AB461" s="70"/>
      <c r="AC461" s="70"/>
      <c r="AD461" s="136"/>
      <c r="AE461" s="24"/>
      <c r="AF461" s="24"/>
      <c r="AG461" s="73"/>
      <c r="AH461" s="125"/>
      <c r="AI461" s="103"/>
      <c r="AK461" s="113"/>
      <c r="AL461" s="113"/>
      <c r="AM461" s="113"/>
      <c r="AN461" s="113"/>
      <c r="AO461" s="137"/>
      <c r="AP461" s="137"/>
      <c r="AQ461" s="137"/>
      <c r="AR461" s="137"/>
      <c r="AS461" s="137"/>
      <c r="AT461" s="137"/>
      <c r="AU461" s="67"/>
      <c r="AV461" s="44"/>
      <c r="AW461" s="67"/>
      <c r="AX461" s="75"/>
      <c r="AY461" s="123"/>
      <c r="AZ461" s="67"/>
      <c r="BA461" s="138"/>
      <c r="BB461" s="67"/>
      <c r="BC461" s="67"/>
      <c r="BD461" s="67"/>
      <c r="BE461" s="67"/>
      <c r="BF461" s="67"/>
      <c r="BG461" s="67"/>
      <c r="BH461" s="67"/>
      <c r="BI461" s="67"/>
      <c r="BJ461" s="67"/>
      <c r="BK461" s="67"/>
      <c r="BL461" s="67"/>
      <c r="BM461" s="70"/>
      <c r="BN461" s="70"/>
      <c r="BO461" s="70"/>
      <c r="BP461" s="70"/>
      <c r="BQ461" s="70"/>
      <c r="BR461" s="70"/>
      <c r="BS461" s="70"/>
      <c r="BT461" s="70"/>
      <c r="BU461" s="70"/>
      <c r="BV461" s="70"/>
      <c r="BW461" s="70"/>
      <c r="BX461" s="136"/>
      <c r="BY461" s="70"/>
      <c r="BZ461" s="67"/>
      <c r="CA461" s="67"/>
      <c r="CB461" s="67"/>
    </row>
    <row r="462" spans="1:80" s="28" customFormat="1" ht="16" customHeight="1">
      <c r="A462" s="39"/>
      <c r="B462" s="57"/>
      <c r="C462" s="67"/>
      <c r="D462" s="67"/>
      <c r="E462" s="39"/>
      <c r="F462" s="39"/>
      <c r="G462" s="39"/>
      <c r="H462" s="67"/>
      <c r="I462" s="60"/>
      <c r="J462" s="60"/>
      <c r="K462" s="60"/>
      <c r="L462" s="60"/>
      <c r="M462" s="60"/>
      <c r="N462" s="60"/>
      <c r="O462" s="60"/>
      <c r="P462" s="60"/>
      <c r="Q462" s="60"/>
      <c r="R462" s="60"/>
      <c r="S462" s="70"/>
      <c r="T462" s="70"/>
      <c r="U462" s="70"/>
      <c r="V462" s="70"/>
      <c r="W462" s="70"/>
      <c r="X462" s="70"/>
      <c r="Y462" s="70"/>
      <c r="Z462" s="70"/>
      <c r="AA462" s="70"/>
      <c r="AB462" s="70"/>
      <c r="AC462" s="70"/>
      <c r="AD462" s="136"/>
      <c r="AE462" s="24"/>
      <c r="AF462" s="24"/>
      <c r="AG462" s="73"/>
      <c r="AH462" s="125"/>
      <c r="AI462" s="103"/>
      <c r="AK462" s="113"/>
      <c r="AL462" s="113"/>
      <c r="AM462" s="113"/>
      <c r="AN462" s="113"/>
      <c r="AO462" s="137"/>
      <c r="AP462" s="137"/>
      <c r="AQ462" s="137"/>
      <c r="AR462" s="137"/>
      <c r="AS462" s="137"/>
      <c r="AT462" s="137"/>
      <c r="AU462" s="67"/>
      <c r="AV462" s="44"/>
      <c r="AW462" s="67"/>
      <c r="AX462" s="75"/>
      <c r="AY462" s="123"/>
      <c r="AZ462" s="67"/>
      <c r="BA462" s="138"/>
      <c r="BB462" s="67"/>
      <c r="BC462" s="67"/>
      <c r="BD462" s="67"/>
      <c r="BE462" s="67"/>
      <c r="BF462" s="67"/>
      <c r="BG462" s="67"/>
      <c r="BH462" s="67"/>
      <c r="BI462" s="67"/>
      <c r="BJ462" s="67"/>
      <c r="BK462" s="67"/>
      <c r="BL462" s="67"/>
      <c r="BM462" s="70"/>
      <c r="BN462" s="70"/>
      <c r="BO462" s="70"/>
      <c r="BP462" s="70"/>
      <c r="BQ462" s="70"/>
      <c r="BR462" s="70"/>
      <c r="BS462" s="70"/>
      <c r="BT462" s="70"/>
      <c r="BU462" s="70"/>
      <c r="BV462" s="70"/>
      <c r="BW462" s="70"/>
      <c r="BX462" s="136"/>
      <c r="BY462" s="70"/>
      <c r="BZ462" s="67"/>
      <c r="CA462" s="67"/>
      <c r="CB462" s="67"/>
    </row>
    <row r="463" spans="1:80" s="28" customFormat="1" ht="16" customHeight="1">
      <c r="A463" s="39"/>
      <c r="B463" s="57"/>
      <c r="C463" s="67"/>
      <c r="D463" s="67"/>
      <c r="E463" s="39"/>
      <c r="F463" s="39"/>
      <c r="G463" s="39"/>
      <c r="H463" s="67"/>
      <c r="I463" s="60"/>
      <c r="J463" s="60"/>
      <c r="K463" s="60"/>
      <c r="L463" s="60"/>
      <c r="M463" s="60"/>
      <c r="N463" s="60"/>
      <c r="O463" s="60"/>
      <c r="P463" s="60"/>
      <c r="Q463" s="60"/>
      <c r="R463" s="60"/>
      <c r="S463" s="70"/>
      <c r="T463" s="70"/>
      <c r="U463" s="70"/>
      <c r="V463" s="70"/>
      <c r="W463" s="70"/>
      <c r="X463" s="70"/>
      <c r="Y463" s="70"/>
      <c r="Z463" s="70"/>
      <c r="AA463" s="70"/>
      <c r="AB463" s="70"/>
      <c r="AC463" s="70"/>
      <c r="AD463" s="136"/>
      <c r="AE463" s="24"/>
      <c r="AF463" s="24"/>
      <c r="AG463" s="73"/>
      <c r="AH463" s="125"/>
      <c r="AI463" s="103"/>
      <c r="AK463" s="113"/>
      <c r="AL463" s="113"/>
      <c r="AM463" s="113"/>
      <c r="AN463" s="113"/>
      <c r="AO463" s="137"/>
      <c r="AP463" s="137"/>
      <c r="AQ463" s="137"/>
      <c r="AR463" s="137"/>
      <c r="AS463" s="137"/>
      <c r="AT463" s="137"/>
      <c r="AU463" s="67"/>
      <c r="AV463" s="44"/>
      <c r="AW463" s="67"/>
      <c r="AX463" s="75"/>
      <c r="AY463" s="123"/>
      <c r="AZ463" s="67"/>
      <c r="BA463" s="138"/>
      <c r="BB463" s="67"/>
      <c r="BC463" s="67"/>
      <c r="BD463" s="67"/>
      <c r="BE463" s="67"/>
      <c r="BF463" s="67"/>
      <c r="BG463" s="67"/>
      <c r="BH463" s="67"/>
      <c r="BI463" s="67"/>
      <c r="BJ463" s="67"/>
      <c r="BK463" s="67"/>
      <c r="BL463" s="67"/>
      <c r="BM463" s="70"/>
      <c r="BN463" s="70"/>
      <c r="BO463" s="70"/>
      <c r="BP463" s="70"/>
      <c r="BQ463" s="70"/>
      <c r="BR463" s="70"/>
      <c r="BS463" s="70"/>
      <c r="BT463" s="70"/>
      <c r="BU463" s="70"/>
      <c r="BV463" s="70"/>
      <c r="BW463" s="70"/>
      <c r="BX463" s="136"/>
      <c r="BY463" s="70"/>
      <c r="BZ463" s="67"/>
      <c r="CA463" s="67"/>
      <c r="CB463" s="67"/>
    </row>
    <row r="464" spans="1:80" s="28" customFormat="1" ht="16" customHeight="1">
      <c r="A464" s="39"/>
      <c r="B464" s="57"/>
      <c r="C464" s="67"/>
      <c r="D464" s="67"/>
      <c r="E464" s="39"/>
      <c r="F464" s="39"/>
      <c r="G464" s="39"/>
      <c r="H464" s="67"/>
      <c r="I464" s="60"/>
      <c r="J464" s="60"/>
      <c r="K464" s="60"/>
      <c r="L464" s="60"/>
      <c r="M464" s="60"/>
      <c r="N464" s="60"/>
      <c r="O464" s="60"/>
      <c r="P464" s="60"/>
      <c r="Q464" s="60"/>
      <c r="R464" s="60"/>
      <c r="S464" s="70"/>
      <c r="T464" s="70"/>
      <c r="U464" s="70"/>
      <c r="V464" s="70"/>
      <c r="W464" s="70"/>
      <c r="X464" s="70"/>
      <c r="Y464" s="70"/>
      <c r="Z464" s="70"/>
      <c r="AA464" s="70"/>
      <c r="AB464" s="70"/>
      <c r="AC464" s="70"/>
      <c r="AD464" s="136"/>
      <c r="AE464" s="24"/>
      <c r="AF464" s="24"/>
      <c r="AG464" s="73"/>
      <c r="AH464" s="125"/>
      <c r="AI464" s="103"/>
      <c r="AK464" s="113"/>
      <c r="AL464" s="113"/>
      <c r="AM464" s="113"/>
      <c r="AN464" s="113"/>
      <c r="AO464" s="137"/>
      <c r="AP464" s="137"/>
      <c r="AQ464" s="137"/>
      <c r="AR464" s="137"/>
      <c r="AS464" s="137"/>
      <c r="AT464" s="137"/>
      <c r="AU464" s="67"/>
      <c r="AV464" s="44"/>
      <c r="AW464" s="67"/>
      <c r="AX464" s="75"/>
      <c r="AY464" s="123"/>
      <c r="AZ464" s="67"/>
      <c r="BA464" s="138"/>
      <c r="BB464" s="67"/>
      <c r="BC464" s="67"/>
      <c r="BD464" s="67"/>
      <c r="BE464" s="67"/>
      <c r="BF464" s="67"/>
      <c r="BG464" s="67"/>
      <c r="BH464" s="67"/>
      <c r="BI464" s="67"/>
      <c r="BJ464" s="67"/>
      <c r="BK464" s="67"/>
      <c r="BL464" s="67"/>
      <c r="BM464" s="70"/>
      <c r="BN464" s="70"/>
      <c r="BO464" s="70"/>
      <c r="BP464" s="70"/>
      <c r="BQ464" s="70"/>
      <c r="BR464" s="70"/>
      <c r="BS464" s="70"/>
      <c r="BT464" s="70"/>
      <c r="BU464" s="70"/>
      <c r="BV464" s="70"/>
      <c r="BW464" s="70"/>
      <c r="BX464" s="136"/>
      <c r="BY464" s="70"/>
      <c r="BZ464" s="67"/>
      <c r="CA464" s="67"/>
      <c r="CB464" s="67"/>
    </row>
    <row r="465" spans="1:80" s="28" customFormat="1" ht="16" customHeight="1">
      <c r="A465" s="39"/>
      <c r="B465" s="57"/>
      <c r="C465" s="67"/>
      <c r="D465" s="67"/>
      <c r="E465" s="39"/>
      <c r="F465" s="39"/>
      <c r="G465" s="39"/>
      <c r="H465" s="67"/>
      <c r="I465" s="60"/>
      <c r="J465" s="60"/>
      <c r="K465" s="60"/>
      <c r="L465" s="60"/>
      <c r="M465" s="60"/>
      <c r="N465" s="60"/>
      <c r="O465" s="60"/>
      <c r="P465" s="60"/>
      <c r="Q465" s="60"/>
      <c r="R465" s="60"/>
      <c r="S465" s="70"/>
      <c r="T465" s="70"/>
      <c r="U465" s="70"/>
      <c r="V465" s="70"/>
      <c r="W465" s="70"/>
      <c r="X465" s="70"/>
      <c r="Y465" s="70"/>
      <c r="Z465" s="70"/>
      <c r="AA465" s="70"/>
      <c r="AB465" s="70"/>
      <c r="AC465" s="70"/>
      <c r="AD465" s="136"/>
      <c r="AE465" s="24"/>
      <c r="AF465" s="24"/>
      <c r="AG465" s="73"/>
      <c r="AH465" s="125"/>
      <c r="AI465" s="103"/>
      <c r="AK465" s="113"/>
      <c r="AL465" s="113"/>
      <c r="AM465" s="113"/>
      <c r="AN465" s="113"/>
      <c r="AO465" s="137"/>
      <c r="AP465" s="137"/>
      <c r="AQ465" s="137"/>
      <c r="AR465" s="137"/>
      <c r="AS465" s="137"/>
      <c r="AT465" s="137"/>
      <c r="AU465" s="67"/>
      <c r="AV465" s="44"/>
      <c r="AW465" s="67"/>
      <c r="AX465" s="75"/>
      <c r="AY465" s="123"/>
      <c r="AZ465" s="67"/>
      <c r="BA465" s="138"/>
      <c r="BB465" s="67"/>
      <c r="BC465" s="67"/>
      <c r="BD465" s="67"/>
      <c r="BE465" s="67"/>
      <c r="BF465" s="67"/>
      <c r="BG465" s="67"/>
      <c r="BH465" s="67"/>
      <c r="BI465" s="67"/>
      <c r="BJ465" s="67"/>
      <c r="BK465" s="67"/>
      <c r="BL465" s="67"/>
      <c r="BM465" s="70"/>
      <c r="BN465" s="70"/>
      <c r="BO465" s="70"/>
      <c r="BP465" s="70"/>
      <c r="BQ465" s="70"/>
      <c r="BR465" s="70"/>
      <c r="BS465" s="70"/>
      <c r="BT465" s="70"/>
      <c r="BU465" s="70"/>
      <c r="BV465" s="70"/>
      <c r="BW465" s="70"/>
      <c r="BX465" s="136"/>
      <c r="BY465" s="70"/>
      <c r="BZ465" s="67"/>
      <c r="CA465" s="67"/>
      <c r="CB465" s="67"/>
    </row>
    <row r="466" spans="1:80" s="28" customFormat="1" ht="16" customHeight="1">
      <c r="A466" s="39"/>
      <c r="B466" s="57"/>
      <c r="C466" s="67"/>
      <c r="D466" s="67"/>
      <c r="E466" s="39"/>
      <c r="F466" s="39"/>
      <c r="G466" s="39"/>
      <c r="H466" s="67"/>
      <c r="I466" s="60"/>
      <c r="J466" s="60"/>
      <c r="K466" s="60"/>
      <c r="L466" s="60"/>
      <c r="M466" s="60"/>
      <c r="N466" s="60"/>
      <c r="O466" s="60"/>
      <c r="P466" s="60"/>
      <c r="Q466" s="60"/>
      <c r="R466" s="60"/>
      <c r="S466" s="70"/>
      <c r="T466" s="70"/>
      <c r="U466" s="70"/>
      <c r="V466" s="70"/>
      <c r="W466" s="70"/>
      <c r="X466" s="70"/>
      <c r="Y466" s="70"/>
      <c r="Z466" s="70"/>
      <c r="AA466" s="70"/>
      <c r="AB466" s="70"/>
      <c r="AC466" s="70"/>
      <c r="AD466" s="136"/>
      <c r="AE466" s="24"/>
      <c r="AF466" s="24"/>
      <c r="AG466" s="73"/>
      <c r="AH466" s="125"/>
      <c r="AI466" s="103"/>
      <c r="AK466" s="113"/>
      <c r="AL466" s="113"/>
      <c r="AM466" s="113"/>
      <c r="AN466" s="113"/>
      <c r="AO466" s="137"/>
      <c r="AP466" s="137"/>
      <c r="AQ466" s="137"/>
      <c r="AR466" s="137"/>
      <c r="AS466" s="137"/>
      <c r="AT466" s="137"/>
      <c r="AU466" s="67"/>
      <c r="AV466" s="44"/>
      <c r="AW466" s="67"/>
      <c r="AX466" s="75"/>
      <c r="AY466" s="123"/>
      <c r="AZ466" s="67"/>
      <c r="BA466" s="138"/>
      <c r="BB466" s="67"/>
      <c r="BC466" s="67"/>
      <c r="BD466" s="67"/>
      <c r="BE466" s="67"/>
      <c r="BF466" s="67"/>
      <c r="BG466" s="67"/>
      <c r="BH466" s="67"/>
      <c r="BI466" s="67"/>
      <c r="BJ466" s="67"/>
      <c r="BK466" s="67"/>
      <c r="BL466" s="67"/>
      <c r="BM466" s="70"/>
      <c r="BN466" s="70"/>
      <c r="BO466" s="70"/>
      <c r="BP466" s="70"/>
      <c r="BQ466" s="70"/>
      <c r="BR466" s="70"/>
      <c r="BS466" s="70"/>
      <c r="BT466" s="70"/>
      <c r="BU466" s="70"/>
      <c r="BV466" s="70"/>
      <c r="BW466" s="70"/>
      <c r="BX466" s="136"/>
      <c r="BY466" s="70"/>
      <c r="BZ466" s="67"/>
      <c r="CA466" s="67"/>
      <c r="CB466" s="67"/>
    </row>
    <row r="467" spans="1:80" s="28" customFormat="1" ht="16" customHeight="1">
      <c r="A467" s="39"/>
      <c r="B467" s="57"/>
      <c r="C467" s="67"/>
      <c r="D467" s="67"/>
      <c r="E467" s="39"/>
      <c r="F467" s="39"/>
      <c r="G467" s="39"/>
      <c r="H467" s="67"/>
      <c r="I467" s="60"/>
      <c r="J467" s="60"/>
      <c r="K467" s="60"/>
      <c r="L467" s="60"/>
      <c r="M467" s="60"/>
      <c r="N467" s="60"/>
      <c r="O467" s="60"/>
      <c r="P467" s="60"/>
      <c r="Q467" s="60"/>
      <c r="R467" s="60"/>
      <c r="S467" s="70"/>
      <c r="T467" s="70"/>
      <c r="U467" s="70"/>
      <c r="V467" s="70"/>
      <c r="W467" s="70"/>
      <c r="X467" s="70"/>
      <c r="Y467" s="70"/>
      <c r="Z467" s="70"/>
      <c r="AA467" s="70"/>
      <c r="AB467" s="70"/>
      <c r="AC467" s="70"/>
      <c r="AD467" s="136"/>
      <c r="AE467" s="24"/>
      <c r="AF467" s="24"/>
      <c r="AG467" s="73"/>
      <c r="AH467" s="125"/>
      <c r="AI467" s="103"/>
      <c r="AK467" s="113"/>
      <c r="AL467" s="113"/>
      <c r="AM467" s="113"/>
      <c r="AN467" s="113"/>
      <c r="AO467" s="137"/>
      <c r="AP467" s="137"/>
      <c r="AQ467" s="137"/>
      <c r="AR467" s="137"/>
      <c r="AS467" s="137"/>
      <c r="AT467" s="137"/>
      <c r="AU467" s="67"/>
      <c r="AV467" s="44"/>
      <c r="AW467" s="67"/>
      <c r="AX467" s="75"/>
      <c r="AY467" s="123"/>
      <c r="AZ467" s="67"/>
      <c r="BA467" s="138"/>
      <c r="BB467" s="67"/>
      <c r="BC467" s="67"/>
      <c r="BD467" s="67"/>
      <c r="BE467" s="67"/>
      <c r="BF467" s="67"/>
      <c r="BG467" s="67"/>
      <c r="BH467" s="67"/>
      <c r="BI467" s="67"/>
      <c r="BJ467" s="67"/>
      <c r="BK467" s="67"/>
      <c r="BL467" s="67"/>
      <c r="BM467" s="70"/>
      <c r="BN467" s="70"/>
      <c r="BO467" s="70"/>
      <c r="BP467" s="70"/>
      <c r="BQ467" s="70"/>
      <c r="BR467" s="70"/>
      <c r="BS467" s="70"/>
      <c r="BT467" s="70"/>
      <c r="BU467" s="70"/>
      <c r="BV467" s="70"/>
      <c r="BW467" s="70"/>
      <c r="BX467" s="136"/>
      <c r="BY467" s="70"/>
      <c r="BZ467" s="67"/>
      <c r="CA467" s="67"/>
      <c r="CB467" s="67"/>
    </row>
    <row r="468" spans="1:80" s="28" customFormat="1" ht="16" customHeight="1">
      <c r="A468" s="39"/>
      <c r="B468" s="57"/>
      <c r="C468" s="67"/>
      <c r="D468" s="67"/>
      <c r="E468" s="39"/>
      <c r="F468" s="39"/>
      <c r="G468" s="39"/>
      <c r="H468" s="67"/>
      <c r="I468" s="60"/>
      <c r="J468" s="60"/>
      <c r="K468" s="60"/>
      <c r="L468" s="60"/>
      <c r="M468" s="60"/>
      <c r="N468" s="60"/>
      <c r="O468" s="60"/>
      <c r="P468" s="60"/>
      <c r="Q468" s="60"/>
      <c r="R468" s="60"/>
      <c r="S468" s="70"/>
      <c r="T468" s="70"/>
      <c r="U468" s="70"/>
      <c r="V468" s="70"/>
      <c r="W468" s="70"/>
      <c r="X468" s="70"/>
      <c r="Y468" s="70"/>
      <c r="Z468" s="70"/>
      <c r="AA468" s="70"/>
      <c r="AB468" s="70"/>
      <c r="AC468" s="70"/>
      <c r="AD468" s="136"/>
      <c r="AE468" s="24"/>
      <c r="AF468" s="24"/>
      <c r="AG468" s="73"/>
      <c r="AH468" s="125"/>
      <c r="AI468" s="103"/>
      <c r="AK468" s="113"/>
      <c r="AL468" s="113"/>
      <c r="AM468" s="113"/>
      <c r="AN468" s="113"/>
      <c r="AO468" s="137"/>
      <c r="AP468" s="137"/>
      <c r="AQ468" s="137"/>
      <c r="AR468" s="137"/>
      <c r="AS468" s="137"/>
      <c r="AT468" s="137"/>
      <c r="AU468" s="67"/>
      <c r="AV468" s="44"/>
      <c r="AW468" s="67"/>
      <c r="AX468" s="75"/>
      <c r="AY468" s="123"/>
      <c r="AZ468" s="67"/>
      <c r="BA468" s="138"/>
      <c r="BB468" s="67"/>
      <c r="BC468" s="67"/>
      <c r="BD468" s="67"/>
      <c r="BE468" s="67"/>
      <c r="BF468" s="67"/>
      <c r="BG468" s="67"/>
      <c r="BH468" s="67"/>
      <c r="BI468" s="67"/>
      <c r="BJ468" s="67"/>
      <c r="BK468" s="67"/>
      <c r="BL468" s="67"/>
      <c r="BM468" s="70"/>
      <c r="BN468" s="70"/>
      <c r="BO468" s="70"/>
      <c r="BP468" s="70"/>
      <c r="BQ468" s="70"/>
      <c r="BR468" s="70"/>
      <c r="BS468" s="70"/>
      <c r="BT468" s="70"/>
      <c r="BU468" s="70"/>
      <c r="BV468" s="70"/>
      <c r="BW468" s="70"/>
      <c r="BX468" s="136"/>
      <c r="BY468" s="70"/>
      <c r="BZ468" s="67"/>
      <c r="CA468" s="67"/>
      <c r="CB468" s="67"/>
    </row>
    <row r="469" spans="1:80" s="28" customFormat="1" ht="16" customHeight="1">
      <c r="A469" s="39"/>
      <c r="B469" s="57"/>
      <c r="C469" s="67"/>
      <c r="D469" s="67"/>
      <c r="E469" s="39"/>
      <c r="F469" s="39"/>
      <c r="G469" s="39"/>
      <c r="H469" s="67"/>
      <c r="I469" s="60"/>
      <c r="J469" s="60"/>
      <c r="K469" s="60"/>
      <c r="L469" s="60"/>
      <c r="M469" s="60"/>
      <c r="N469" s="60"/>
      <c r="O469" s="60"/>
      <c r="P469" s="60"/>
      <c r="Q469" s="60"/>
      <c r="R469" s="60"/>
      <c r="S469" s="70"/>
      <c r="T469" s="70"/>
      <c r="U469" s="70"/>
      <c r="V469" s="70"/>
      <c r="W469" s="70"/>
      <c r="X469" s="70"/>
      <c r="Y469" s="70"/>
      <c r="Z469" s="70"/>
      <c r="AA469" s="70"/>
      <c r="AB469" s="70"/>
      <c r="AC469" s="70"/>
      <c r="AD469" s="136"/>
      <c r="AE469" s="24"/>
      <c r="AF469" s="24"/>
      <c r="AG469" s="73"/>
      <c r="AH469" s="125"/>
      <c r="AI469" s="103"/>
      <c r="AK469" s="113"/>
      <c r="AL469" s="113"/>
      <c r="AM469" s="113"/>
      <c r="AN469" s="113"/>
      <c r="AO469" s="137"/>
      <c r="AP469" s="137"/>
      <c r="AQ469" s="137"/>
      <c r="AR469" s="137"/>
      <c r="AS469" s="137"/>
      <c r="AT469" s="137"/>
      <c r="AU469" s="67"/>
      <c r="AV469" s="44"/>
      <c r="AW469" s="67"/>
      <c r="AX469" s="75"/>
      <c r="AY469" s="123"/>
      <c r="AZ469" s="67"/>
      <c r="BA469" s="138"/>
      <c r="BB469" s="67"/>
      <c r="BC469" s="67"/>
      <c r="BD469" s="67"/>
      <c r="BE469" s="67"/>
      <c r="BF469" s="67"/>
      <c r="BG469" s="67"/>
      <c r="BH469" s="67"/>
      <c r="BI469" s="67"/>
      <c r="BJ469" s="67"/>
      <c r="BK469" s="67"/>
      <c r="BL469" s="67"/>
      <c r="BM469" s="70"/>
      <c r="BN469" s="70"/>
      <c r="BO469" s="70"/>
      <c r="BP469" s="70"/>
      <c r="BQ469" s="70"/>
      <c r="BR469" s="70"/>
      <c r="BS469" s="70"/>
      <c r="BT469" s="70"/>
      <c r="BU469" s="70"/>
      <c r="BV469" s="70"/>
      <c r="BW469" s="70"/>
      <c r="BX469" s="136"/>
      <c r="BY469" s="70"/>
      <c r="BZ469" s="67"/>
      <c r="CA469" s="67"/>
      <c r="CB469" s="67"/>
    </row>
    <row r="470" spans="1:80" s="28" customFormat="1" ht="16" customHeight="1">
      <c r="A470" s="39"/>
      <c r="B470" s="57"/>
      <c r="C470" s="67"/>
      <c r="D470" s="67"/>
      <c r="E470" s="39"/>
      <c r="F470" s="39"/>
      <c r="G470" s="39"/>
      <c r="H470" s="67"/>
      <c r="I470" s="60"/>
      <c r="J470" s="60"/>
      <c r="K470" s="60"/>
      <c r="L470" s="60"/>
      <c r="M470" s="60"/>
      <c r="N470" s="60"/>
      <c r="O470" s="60"/>
      <c r="P470" s="60"/>
      <c r="Q470" s="60"/>
      <c r="R470" s="60"/>
      <c r="S470" s="70"/>
      <c r="T470" s="70"/>
      <c r="U470" s="70"/>
      <c r="V470" s="70"/>
      <c r="W470" s="70"/>
      <c r="X470" s="70"/>
      <c r="Y470" s="70"/>
      <c r="Z470" s="70"/>
      <c r="AA470" s="70"/>
      <c r="AB470" s="70"/>
      <c r="AC470" s="70"/>
      <c r="AD470" s="136"/>
      <c r="AE470" s="24"/>
      <c r="AF470" s="24"/>
      <c r="AG470" s="73"/>
      <c r="AH470" s="125"/>
      <c r="AI470" s="103"/>
      <c r="AK470" s="113"/>
      <c r="AL470" s="113"/>
      <c r="AM470" s="113"/>
      <c r="AN470" s="113"/>
      <c r="AO470" s="137"/>
      <c r="AP470" s="137"/>
      <c r="AQ470" s="137"/>
      <c r="AR470" s="137"/>
      <c r="AS470" s="137"/>
      <c r="AT470" s="137"/>
      <c r="AU470" s="67"/>
      <c r="AV470" s="44"/>
      <c r="AW470" s="67"/>
      <c r="AX470" s="75"/>
      <c r="AY470" s="123"/>
      <c r="AZ470" s="67"/>
      <c r="BA470" s="138"/>
      <c r="BB470" s="67"/>
      <c r="BC470" s="67"/>
      <c r="BD470" s="67"/>
      <c r="BE470" s="67"/>
      <c r="BF470" s="67"/>
      <c r="BG470" s="67"/>
      <c r="BH470" s="67"/>
      <c r="BI470" s="67"/>
      <c r="BJ470" s="67"/>
      <c r="BK470" s="67"/>
      <c r="BL470" s="67"/>
      <c r="BM470" s="70"/>
      <c r="BN470" s="70"/>
      <c r="BO470" s="70"/>
      <c r="BP470" s="70"/>
      <c r="BQ470" s="70"/>
      <c r="BR470" s="70"/>
      <c r="BS470" s="70"/>
      <c r="BT470" s="70"/>
      <c r="BU470" s="70"/>
      <c r="BV470" s="70"/>
      <c r="BW470" s="70"/>
      <c r="BX470" s="136"/>
      <c r="BY470" s="70"/>
      <c r="BZ470" s="67"/>
      <c r="CA470" s="67"/>
      <c r="CB470" s="67"/>
    </row>
    <row r="471" spans="1:80" s="28" customFormat="1" ht="16" customHeight="1">
      <c r="A471" s="39"/>
      <c r="B471" s="57"/>
      <c r="C471" s="67"/>
      <c r="D471" s="67"/>
      <c r="E471" s="39"/>
      <c r="F471" s="39"/>
      <c r="G471" s="39"/>
      <c r="H471" s="67"/>
      <c r="I471" s="60"/>
      <c r="J471" s="60"/>
      <c r="K471" s="60"/>
      <c r="L471" s="60"/>
      <c r="M471" s="60"/>
      <c r="N471" s="60"/>
      <c r="O471" s="60"/>
      <c r="P471" s="60"/>
      <c r="Q471" s="60"/>
      <c r="R471" s="60"/>
      <c r="S471" s="70"/>
      <c r="T471" s="70"/>
      <c r="U471" s="70"/>
      <c r="V471" s="70"/>
      <c r="W471" s="70"/>
      <c r="X471" s="70"/>
      <c r="Y471" s="70"/>
      <c r="Z471" s="70"/>
      <c r="AA471" s="70"/>
      <c r="AB471" s="70"/>
      <c r="AC471" s="70"/>
      <c r="AD471" s="136"/>
      <c r="AE471" s="24"/>
      <c r="AF471" s="24"/>
      <c r="AG471" s="73"/>
      <c r="AH471" s="125"/>
      <c r="AI471" s="103"/>
      <c r="AK471" s="113"/>
      <c r="AL471" s="113"/>
      <c r="AM471" s="113"/>
      <c r="AN471" s="113"/>
      <c r="AO471" s="137"/>
      <c r="AP471" s="137"/>
      <c r="AQ471" s="137"/>
      <c r="AR471" s="137"/>
      <c r="AS471" s="137"/>
      <c r="AT471" s="137"/>
      <c r="AU471" s="67"/>
      <c r="AV471" s="44"/>
      <c r="AW471" s="67"/>
      <c r="AX471" s="75"/>
      <c r="AY471" s="123"/>
      <c r="AZ471" s="67"/>
      <c r="BA471" s="138"/>
      <c r="BB471" s="67"/>
      <c r="BC471" s="67"/>
      <c r="BD471" s="67"/>
      <c r="BE471" s="67"/>
      <c r="BF471" s="67"/>
      <c r="BG471" s="67"/>
      <c r="BH471" s="67"/>
      <c r="BI471" s="67"/>
      <c r="BJ471" s="67"/>
      <c r="BK471" s="67"/>
      <c r="BL471" s="67"/>
      <c r="BM471" s="70"/>
      <c r="BN471" s="70"/>
      <c r="BO471" s="70"/>
      <c r="BP471" s="70"/>
      <c r="BQ471" s="70"/>
      <c r="BR471" s="70"/>
      <c r="BS471" s="70"/>
      <c r="BT471" s="70"/>
      <c r="BU471" s="70"/>
      <c r="BV471" s="70"/>
      <c r="BW471" s="70"/>
      <c r="BX471" s="136"/>
      <c r="BY471" s="70"/>
      <c r="BZ471" s="67"/>
      <c r="CA471" s="67"/>
      <c r="CB471" s="67"/>
    </row>
    <row r="472" spans="1:80" s="28" customFormat="1" ht="16" customHeight="1">
      <c r="A472" s="39"/>
      <c r="B472" s="57"/>
      <c r="C472" s="67"/>
      <c r="D472" s="67"/>
      <c r="E472" s="39"/>
      <c r="F472" s="39"/>
      <c r="G472" s="39"/>
      <c r="H472" s="67"/>
      <c r="I472" s="60"/>
      <c r="J472" s="60"/>
      <c r="K472" s="60"/>
      <c r="L472" s="60"/>
      <c r="M472" s="60"/>
      <c r="N472" s="60"/>
      <c r="O472" s="60"/>
      <c r="P472" s="60"/>
      <c r="Q472" s="60"/>
      <c r="R472" s="60"/>
      <c r="S472" s="70"/>
      <c r="T472" s="70"/>
      <c r="U472" s="70"/>
      <c r="V472" s="70"/>
      <c r="W472" s="70"/>
      <c r="X472" s="70"/>
      <c r="Y472" s="70"/>
      <c r="Z472" s="70"/>
      <c r="AA472" s="70"/>
      <c r="AB472" s="70"/>
      <c r="AC472" s="70"/>
      <c r="AD472" s="136"/>
      <c r="AE472" s="24"/>
      <c r="AF472" s="24"/>
      <c r="AG472" s="73"/>
      <c r="AH472" s="125"/>
      <c r="AI472" s="103"/>
      <c r="AK472" s="113"/>
      <c r="AL472" s="113"/>
      <c r="AM472" s="113"/>
      <c r="AN472" s="113"/>
      <c r="AO472" s="137"/>
      <c r="AP472" s="137"/>
      <c r="AQ472" s="137"/>
      <c r="AR472" s="137"/>
      <c r="AS472" s="137"/>
      <c r="AT472" s="137"/>
      <c r="AU472" s="67"/>
      <c r="AV472" s="44"/>
      <c r="AW472" s="67"/>
      <c r="AX472" s="75"/>
      <c r="AY472" s="123"/>
      <c r="AZ472" s="67"/>
      <c r="BA472" s="138"/>
      <c r="BB472" s="67"/>
      <c r="BC472" s="67"/>
      <c r="BD472" s="67"/>
      <c r="BE472" s="67"/>
      <c r="BF472" s="67"/>
      <c r="BG472" s="67"/>
      <c r="BH472" s="67"/>
      <c r="BI472" s="67"/>
      <c r="BJ472" s="67"/>
      <c r="BK472" s="67"/>
      <c r="BL472" s="67"/>
      <c r="BM472" s="70"/>
      <c r="BN472" s="70"/>
      <c r="BO472" s="70"/>
      <c r="BP472" s="70"/>
      <c r="BQ472" s="70"/>
      <c r="BR472" s="70"/>
      <c r="BS472" s="70"/>
      <c r="BT472" s="70"/>
      <c r="BU472" s="70"/>
      <c r="BV472" s="70"/>
      <c r="BW472" s="70"/>
      <c r="BX472" s="136"/>
      <c r="BY472" s="70"/>
      <c r="BZ472" s="67"/>
      <c r="CA472" s="67"/>
      <c r="CB472" s="67"/>
    </row>
    <row r="473" spans="1:80" s="28" customFormat="1" ht="16" customHeight="1">
      <c r="A473" s="39"/>
      <c r="B473" s="57"/>
      <c r="C473" s="67"/>
      <c r="D473" s="67"/>
      <c r="E473" s="39"/>
      <c r="F473" s="39"/>
      <c r="G473" s="39"/>
      <c r="H473" s="67"/>
      <c r="I473" s="60"/>
      <c r="J473" s="60"/>
      <c r="K473" s="60"/>
      <c r="L473" s="60"/>
      <c r="M473" s="60"/>
      <c r="N473" s="60"/>
      <c r="O473" s="60"/>
      <c r="P473" s="60"/>
      <c r="Q473" s="60"/>
      <c r="R473" s="60"/>
      <c r="S473" s="70"/>
      <c r="T473" s="70"/>
      <c r="U473" s="70"/>
      <c r="V473" s="70"/>
      <c r="W473" s="70"/>
      <c r="X473" s="70"/>
      <c r="Y473" s="70"/>
      <c r="Z473" s="70"/>
      <c r="AA473" s="70"/>
      <c r="AB473" s="70"/>
      <c r="AC473" s="70"/>
      <c r="AD473" s="136"/>
      <c r="AE473" s="24"/>
      <c r="AF473" s="24"/>
      <c r="AG473" s="73"/>
      <c r="AH473" s="125"/>
      <c r="AI473" s="103"/>
      <c r="AK473" s="113"/>
      <c r="AL473" s="113"/>
      <c r="AM473" s="113"/>
      <c r="AN473" s="113"/>
      <c r="AO473" s="137"/>
      <c r="AP473" s="137"/>
      <c r="AQ473" s="137"/>
      <c r="AR473" s="137"/>
      <c r="AS473" s="137"/>
      <c r="AT473" s="137"/>
      <c r="AU473" s="67"/>
      <c r="AV473" s="44"/>
      <c r="AW473" s="67"/>
      <c r="AX473" s="75"/>
      <c r="AY473" s="123"/>
      <c r="AZ473" s="67"/>
      <c r="BA473" s="138"/>
      <c r="BB473" s="67"/>
      <c r="BC473" s="67"/>
      <c r="BD473" s="67"/>
      <c r="BE473" s="67"/>
      <c r="BF473" s="67"/>
      <c r="BG473" s="67"/>
      <c r="BH473" s="67"/>
      <c r="BI473" s="67"/>
      <c r="BJ473" s="67"/>
      <c r="BK473" s="67"/>
      <c r="BL473" s="67"/>
      <c r="BM473" s="70"/>
      <c r="BN473" s="70"/>
      <c r="BO473" s="70"/>
      <c r="BP473" s="70"/>
      <c r="BQ473" s="70"/>
      <c r="BR473" s="70"/>
      <c r="BS473" s="70"/>
      <c r="BT473" s="70"/>
      <c r="BU473" s="70"/>
      <c r="BV473" s="70"/>
      <c r="BW473" s="70"/>
      <c r="BX473" s="136"/>
      <c r="BY473" s="70"/>
      <c r="BZ473" s="67"/>
      <c r="CA473" s="67"/>
      <c r="CB473" s="67"/>
    </row>
    <row r="474" spans="1:80" s="28" customFormat="1" ht="16" customHeight="1">
      <c r="A474" s="39"/>
      <c r="B474" s="57"/>
      <c r="C474" s="67"/>
      <c r="D474" s="67"/>
      <c r="E474" s="39"/>
      <c r="F474" s="39"/>
      <c r="G474" s="39"/>
      <c r="H474" s="67"/>
      <c r="I474" s="60"/>
      <c r="J474" s="60"/>
      <c r="K474" s="60"/>
      <c r="L474" s="60"/>
      <c r="M474" s="60"/>
      <c r="N474" s="60"/>
      <c r="O474" s="60"/>
      <c r="P474" s="60"/>
      <c r="Q474" s="60"/>
      <c r="R474" s="60"/>
      <c r="S474" s="70"/>
      <c r="T474" s="70"/>
      <c r="U474" s="70"/>
      <c r="V474" s="70"/>
      <c r="W474" s="70"/>
      <c r="X474" s="70"/>
      <c r="Y474" s="70"/>
      <c r="Z474" s="70"/>
      <c r="AA474" s="70"/>
      <c r="AB474" s="70"/>
      <c r="AC474" s="70"/>
      <c r="AD474" s="136"/>
      <c r="AE474" s="24"/>
      <c r="AF474" s="24"/>
      <c r="AG474" s="73"/>
      <c r="AH474" s="125"/>
      <c r="AI474" s="103"/>
      <c r="AK474" s="113"/>
      <c r="AL474" s="113"/>
      <c r="AM474" s="113"/>
      <c r="AN474" s="113"/>
      <c r="AO474" s="137"/>
      <c r="AP474" s="137"/>
      <c r="AQ474" s="137"/>
      <c r="AR474" s="137"/>
      <c r="AS474" s="137"/>
      <c r="AT474" s="137"/>
      <c r="AU474" s="67"/>
      <c r="AV474" s="44"/>
      <c r="AW474" s="67"/>
      <c r="AX474" s="75"/>
      <c r="AY474" s="123"/>
      <c r="AZ474" s="67"/>
      <c r="BA474" s="138"/>
      <c r="BB474" s="67"/>
      <c r="BC474" s="67"/>
      <c r="BD474" s="67"/>
      <c r="BE474" s="67"/>
      <c r="BF474" s="67"/>
      <c r="BG474" s="67"/>
      <c r="BH474" s="67"/>
      <c r="BI474" s="67"/>
      <c r="BJ474" s="67"/>
      <c r="BK474" s="67"/>
      <c r="BL474" s="67"/>
      <c r="BM474" s="70"/>
      <c r="BN474" s="70"/>
      <c r="BO474" s="70"/>
      <c r="BP474" s="70"/>
      <c r="BQ474" s="70"/>
      <c r="BR474" s="70"/>
      <c r="BS474" s="70"/>
      <c r="BT474" s="70"/>
      <c r="BU474" s="70"/>
      <c r="BV474" s="70"/>
      <c r="BW474" s="70"/>
      <c r="BX474" s="136"/>
      <c r="BY474" s="70"/>
      <c r="BZ474" s="67"/>
      <c r="CA474" s="67"/>
      <c r="CB474" s="67"/>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X428"/>
  <sheetViews>
    <sheetView zoomScale="125" zoomScaleNormal="125" zoomScalePageLayoutView="125" workbookViewId="0">
      <pane xSplit="2" ySplit="1" topLeftCell="AQ2" activePane="bottomRight" state="frozen"/>
      <selection pane="topRight" activeCell="C1" sqref="C1"/>
      <selection pane="bottomLeft" activeCell="A2" sqref="A2"/>
      <selection pane="bottomRight" activeCell="BD9" sqref="BD9"/>
    </sheetView>
  </sheetViews>
  <sheetFormatPr baseColWidth="10" defaultRowHeight="16" customHeight="1"/>
  <cols>
    <col min="1" max="1" width="5.1640625" style="18" bestFit="1" customWidth="1"/>
    <col min="2" max="2" width="11" style="17" bestFit="1" customWidth="1"/>
    <col min="3" max="3" width="10.6640625" style="16" bestFit="1" customWidth="1"/>
    <col min="4" max="4" width="4.6640625" style="16" bestFit="1" customWidth="1"/>
    <col min="5" max="7" width="2.33203125" style="16" bestFit="1" customWidth="1"/>
    <col min="8" max="19" width="5.1640625" style="18" customWidth="1"/>
    <col min="20" max="24" width="5.1640625" customWidth="1"/>
    <col min="25" max="25" width="5.6640625" bestFit="1" customWidth="1"/>
    <col min="26" max="26" width="4.83203125" style="16" bestFit="1" customWidth="1"/>
    <col min="27" max="27" width="6.5" style="16" bestFit="1" customWidth="1"/>
    <col min="28" max="28" width="0.83203125" style="55" customWidth="1"/>
    <col min="29" max="43" width="5.1640625" customWidth="1"/>
    <col min="44" max="44" width="4.6640625" customWidth="1"/>
    <col min="45" max="45" width="0.83203125" style="55" customWidth="1"/>
    <col min="46" max="46" width="1" customWidth="1"/>
    <col min="47" max="47" width="9.6640625" style="42" bestFit="1" customWidth="1"/>
    <col min="48" max="48" width="6" style="16" customWidth="1"/>
    <col min="49" max="51" width="5.6640625" style="16" bestFit="1" customWidth="1"/>
    <col min="52" max="52" width="6.83203125" style="16" bestFit="1" customWidth="1"/>
    <col min="53" max="56" width="5.6640625" style="16" bestFit="1" customWidth="1"/>
    <col min="57" max="58" width="6" style="16" customWidth="1"/>
    <col min="59" max="59" width="5.6640625" style="16" bestFit="1" customWidth="1"/>
    <col min="60" max="60" width="6.5" style="16" bestFit="1" customWidth="1"/>
    <col min="61" max="61" width="4.83203125" bestFit="1" customWidth="1"/>
    <col min="62" max="62" width="5.1640625" customWidth="1"/>
    <col min="63" max="63" width="5.6640625" bestFit="1" customWidth="1"/>
    <col min="64" max="64" width="5.33203125" bestFit="1" customWidth="1"/>
    <col min="65" max="65" width="5.6640625" bestFit="1" customWidth="1"/>
    <col min="66" max="66" width="5.6640625" customWidth="1"/>
    <col min="67" max="67" width="5.6640625" bestFit="1" customWidth="1"/>
    <col min="68" max="68" width="5.6640625" customWidth="1"/>
    <col min="69" max="69" width="0.83203125" style="55" customWidth="1"/>
    <col min="70" max="74" width="5.1640625" customWidth="1"/>
    <col min="75" max="75" width="6.5" bestFit="1" customWidth="1"/>
    <col min="76" max="85" width="5.1640625" customWidth="1"/>
    <col min="86" max="86" width="0.83203125" style="55" customWidth="1"/>
    <col min="87" max="87" width="4.83203125" customWidth="1"/>
    <col min="88" max="88" width="8.33203125" style="16" bestFit="1" customWidth="1"/>
    <col min="89" max="89" width="10.83203125" style="16"/>
    <col min="90" max="90" width="6.1640625" style="39" bestFit="1" customWidth="1"/>
    <col min="91" max="91" width="4.83203125" style="39" bestFit="1" customWidth="1"/>
    <col min="92" max="92" width="5.6640625" style="39" bestFit="1" customWidth="1"/>
    <col min="93" max="95" width="4.83203125" style="39" bestFit="1" customWidth="1"/>
    <col min="96" max="96" width="6" style="39" bestFit="1" customWidth="1"/>
    <col min="97" max="100" width="4.83203125" style="39" bestFit="1" customWidth="1"/>
    <col min="101" max="101" width="5.6640625" style="39" bestFit="1" customWidth="1"/>
    <col min="102" max="108" width="4.83203125" style="39" bestFit="1" customWidth="1"/>
    <col min="109" max="109" width="5.1640625" style="16" customWidth="1"/>
    <col min="110" max="110" width="0.83203125" style="55" customWidth="1"/>
    <col min="111" max="126" width="5" style="16" customWidth="1"/>
    <col min="127" max="127" width="2.5" style="16" customWidth="1"/>
    <col min="128" max="128" width="5.6640625" style="39" bestFit="1" customWidth="1"/>
    <col min="129" max="16384" width="10.83203125" style="16"/>
  </cols>
  <sheetData>
    <row r="1" spans="1:128" ht="16" customHeight="1">
      <c r="A1" s="4" t="s">
        <v>0</v>
      </c>
      <c r="B1" s="5" t="s">
        <v>1</v>
      </c>
      <c r="C1" s="14" t="s">
        <v>11</v>
      </c>
      <c r="D1" s="4" t="s">
        <v>12</v>
      </c>
      <c r="E1" s="4" t="s">
        <v>8</v>
      </c>
      <c r="F1" s="4" t="s">
        <v>9</v>
      </c>
      <c r="G1" s="4" t="s">
        <v>10</v>
      </c>
      <c r="H1" s="4" t="s">
        <v>18</v>
      </c>
      <c r="I1" s="4" t="s">
        <v>22</v>
      </c>
      <c r="J1" s="4" t="s">
        <v>19</v>
      </c>
      <c r="K1" s="4" t="s">
        <v>23</v>
      </c>
      <c r="L1" s="6" t="s">
        <v>49</v>
      </c>
      <c r="M1" s="6" t="s">
        <v>50</v>
      </c>
      <c r="N1" s="4" t="s">
        <v>20</v>
      </c>
      <c r="O1" s="4" t="s">
        <v>17</v>
      </c>
      <c r="P1" s="4" t="s">
        <v>24</v>
      </c>
      <c r="Q1" s="4" t="s">
        <v>109</v>
      </c>
      <c r="R1" s="4" t="s">
        <v>21</v>
      </c>
      <c r="S1" s="4" t="s">
        <v>16</v>
      </c>
      <c r="T1" s="4" t="s">
        <v>67</v>
      </c>
      <c r="U1" s="4" t="s">
        <v>119</v>
      </c>
      <c r="V1" s="39" t="s">
        <v>105</v>
      </c>
      <c r="W1" s="4" t="s">
        <v>65</v>
      </c>
      <c r="X1" s="4" t="s">
        <v>66</v>
      </c>
      <c r="Y1" s="4" t="s">
        <v>14</v>
      </c>
      <c r="Z1" s="4" t="s">
        <v>106</v>
      </c>
      <c r="AA1" s="4" t="s">
        <v>29</v>
      </c>
      <c r="AB1" s="53"/>
      <c r="AC1" s="4" t="s">
        <v>110</v>
      </c>
      <c r="AD1" s="4" t="s">
        <v>111</v>
      </c>
      <c r="AE1" s="4" t="s">
        <v>121</v>
      </c>
      <c r="AF1" s="4" t="s">
        <v>122</v>
      </c>
      <c r="AG1" s="4" t="s">
        <v>123</v>
      </c>
      <c r="AH1" s="4" t="s">
        <v>124</v>
      </c>
      <c r="AI1" s="4" t="s">
        <v>126</v>
      </c>
      <c r="AJ1" s="4" t="s">
        <v>120</v>
      </c>
      <c r="AK1" s="4" t="s">
        <v>127</v>
      </c>
      <c r="AL1" s="4" t="s">
        <v>9</v>
      </c>
      <c r="AM1" s="4" t="s">
        <v>125</v>
      </c>
      <c r="AN1" s="4" t="s">
        <v>128</v>
      </c>
      <c r="AO1" s="4" t="s">
        <v>129</v>
      </c>
      <c r="AP1" s="4" t="s">
        <v>338</v>
      </c>
      <c r="AQ1" s="4" t="s">
        <v>340</v>
      </c>
      <c r="AR1" s="4" t="s">
        <v>339</v>
      </c>
      <c r="AS1" s="53"/>
      <c r="AT1" s="4"/>
      <c r="AU1" s="49" t="s">
        <v>462</v>
      </c>
      <c r="AV1" s="4" t="s">
        <v>147</v>
      </c>
      <c r="AW1" s="4" t="s">
        <v>18</v>
      </c>
      <c r="AX1" s="4" t="s">
        <v>22</v>
      </c>
      <c r="AY1" s="4" t="s">
        <v>19</v>
      </c>
      <c r="AZ1" s="4" t="s">
        <v>23</v>
      </c>
      <c r="BA1" s="4" t="s">
        <v>49</v>
      </c>
      <c r="BB1" s="4" t="s">
        <v>50</v>
      </c>
      <c r="BC1" s="4" t="s">
        <v>20</v>
      </c>
      <c r="BD1" s="4" t="s">
        <v>17</v>
      </c>
      <c r="BE1" s="4" t="s">
        <v>24</v>
      </c>
      <c r="BF1" s="4" t="s">
        <v>109</v>
      </c>
      <c r="BG1" s="4" t="s">
        <v>21</v>
      </c>
      <c r="BH1" s="4" t="s">
        <v>16</v>
      </c>
      <c r="BI1" s="4" t="s">
        <v>67</v>
      </c>
      <c r="BJ1" s="4" t="s">
        <v>119</v>
      </c>
      <c r="BK1" s="4" t="s">
        <v>105</v>
      </c>
      <c r="BL1" s="4" t="s">
        <v>65</v>
      </c>
      <c r="BM1" s="4" t="s">
        <v>66</v>
      </c>
      <c r="BN1" s="4" t="s">
        <v>29</v>
      </c>
      <c r="BO1" s="4" t="s">
        <v>14</v>
      </c>
      <c r="BP1" s="4" t="s">
        <v>106</v>
      </c>
      <c r="BQ1" s="53"/>
      <c r="BR1" s="4" t="s">
        <v>110</v>
      </c>
      <c r="BS1" s="4" t="s">
        <v>111</v>
      </c>
      <c r="BT1" s="4" t="s">
        <v>121</v>
      </c>
      <c r="BU1" s="4" t="s">
        <v>122</v>
      </c>
      <c r="BV1" s="4" t="s">
        <v>123</v>
      </c>
      <c r="BW1" s="4" t="s">
        <v>124</v>
      </c>
      <c r="BX1" s="4" t="s">
        <v>126</v>
      </c>
      <c r="BY1" s="4" t="s">
        <v>120</v>
      </c>
      <c r="BZ1" s="4" t="s">
        <v>127</v>
      </c>
      <c r="CA1" s="4" t="s">
        <v>9</v>
      </c>
      <c r="CB1" s="4" t="s">
        <v>125</v>
      </c>
      <c r="CC1" s="4" t="s">
        <v>128</v>
      </c>
      <c r="CD1" s="4" t="s">
        <v>129</v>
      </c>
      <c r="CE1" s="39" t="s">
        <v>338</v>
      </c>
      <c r="CF1" s="39" t="s">
        <v>340</v>
      </c>
      <c r="CG1" s="39" t="s">
        <v>339</v>
      </c>
      <c r="CH1" s="53"/>
      <c r="CI1" s="6"/>
      <c r="CJ1" s="7" t="s">
        <v>7</v>
      </c>
      <c r="CK1" s="6" t="s">
        <v>319</v>
      </c>
      <c r="CL1" s="4" t="s">
        <v>44</v>
      </c>
      <c r="CM1" s="4" t="s">
        <v>47</v>
      </c>
      <c r="CN1" s="4" t="s">
        <v>45</v>
      </c>
      <c r="CO1" s="4" t="s">
        <v>48</v>
      </c>
      <c r="CP1" s="58" t="s">
        <v>137</v>
      </c>
      <c r="CQ1" s="59" t="s">
        <v>4</v>
      </c>
      <c r="CR1" s="4" t="s">
        <v>46</v>
      </c>
      <c r="CS1" s="4" t="s">
        <v>3</v>
      </c>
      <c r="CT1" s="4" t="s">
        <v>2</v>
      </c>
      <c r="CU1" s="39" t="s">
        <v>5</v>
      </c>
      <c r="CV1" s="39" t="s">
        <v>112</v>
      </c>
      <c r="CW1" s="4" t="s">
        <v>6</v>
      </c>
      <c r="CX1" s="4" t="s">
        <v>43</v>
      </c>
      <c r="CY1" s="4" t="s">
        <v>64</v>
      </c>
      <c r="CZ1" s="39" t="s">
        <v>134</v>
      </c>
      <c r="DA1" s="39" t="s">
        <v>300</v>
      </c>
      <c r="DB1" s="39" t="s">
        <v>65</v>
      </c>
      <c r="DC1" s="39" t="s">
        <v>66</v>
      </c>
      <c r="DD1" s="39" t="s">
        <v>318</v>
      </c>
      <c r="DE1" s="39" t="s">
        <v>320</v>
      </c>
      <c r="DF1" s="53"/>
      <c r="DG1" s="4" t="s">
        <v>346</v>
      </c>
      <c r="DH1" s="4" t="s">
        <v>347</v>
      </c>
      <c r="DI1" s="4" t="s">
        <v>356</v>
      </c>
      <c r="DJ1" s="4" t="s">
        <v>348</v>
      </c>
      <c r="DK1" s="4" t="s">
        <v>349</v>
      </c>
      <c r="DL1" s="4" t="s">
        <v>350</v>
      </c>
      <c r="DM1" s="4" t="s">
        <v>351</v>
      </c>
      <c r="DN1" s="4" t="s">
        <v>352</v>
      </c>
      <c r="DO1" s="4" t="s">
        <v>353</v>
      </c>
      <c r="DP1" s="4" t="s">
        <v>357</v>
      </c>
      <c r="DQ1" s="4" t="s">
        <v>358</v>
      </c>
      <c r="DR1" s="4" t="s">
        <v>354</v>
      </c>
      <c r="DS1" s="4" t="s">
        <v>355</v>
      </c>
      <c r="DT1" s="4" t="s">
        <v>407</v>
      </c>
      <c r="DU1" s="4" t="s">
        <v>406</v>
      </c>
      <c r="DV1" s="4" t="s">
        <v>405</v>
      </c>
      <c r="DW1" s="4"/>
      <c r="DX1" s="39" t="s">
        <v>7</v>
      </c>
    </row>
    <row r="2" spans="1:128" ht="16" customHeight="1">
      <c r="A2" s="4">
        <v>2</v>
      </c>
      <c r="B2" s="5" t="s">
        <v>41</v>
      </c>
      <c r="C2" s="15" t="s">
        <v>55</v>
      </c>
      <c r="D2" s="15"/>
      <c r="E2" s="10"/>
      <c r="F2" s="10"/>
      <c r="G2" s="10"/>
      <c r="H2" s="9">
        <v>1</v>
      </c>
      <c r="I2" s="9"/>
      <c r="J2" s="9"/>
      <c r="K2" s="9"/>
      <c r="L2" s="9">
        <v>0.4</v>
      </c>
      <c r="M2" s="9">
        <v>0</v>
      </c>
      <c r="N2" s="9"/>
      <c r="O2" s="9">
        <v>1.6</v>
      </c>
      <c r="P2" s="9"/>
      <c r="Q2" s="9"/>
      <c r="R2" s="9"/>
      <c r="S2" s="9"/>
      <c r="T2" s="9"/>
      <c r="U2" s="9"/>
      <c r="V2" s="9">
        <v>0</v>
      </c>
      <c r="W2" s="9">
        <v>0</v>
      </c>
      <c r="X2" s="9">
        <v>0</v>
      </c>
      <c r="Y2" s="9">
        <v>4</v>
      </c>
      <c r="Z2" s="20">
        <v>0</v>
      </c>
      <c r="AA2" s="20">
        <v>0</v>
      </c>
      <c r="AB2" s="54"/>
      <c r="AC2" s="9"/>
      <c r="AD2" s="9"/>
      <c r="AE2" s="9"/>
      <c r="AF2" s="9"/>
      <c r="AG2" s="9"/>
      <c r="AH2" s="9"/>
      <c r="AI2" s="9"/>
      <c r="AJ2" s="9"/>
      <c r="AK2" s="9"/>
      <c r="AL2" s="9"/>
      <c r="AM2" s="9"/>
      <c r="AN2" s="9"/>
      <c r="AO2" s="9"/>
      <c r="AP2" s="9"/>
      <c r="AQ2" s="9"/>
      <c r="AS2" s="54"/>
      <c r="AT2" s="9"/>
      <c r="AU2" s="41">
        <v>1</v>
      </c>
      <c r="AV2" s="35"/>
      <c r="AW2" s="11">
        <f t="shared" ref="AW2:AW42" si="0">28.0855*H2*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18.319716908827033</v>
      </c>
      <c r="AX2" s="11">
        <f t="shared" ref="AX2:AX42" si="1">I2*47.867*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AY2" s="11">
        <f t="shared" ref="AY2:AY42" si="2">J2*26.981539*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AZ2" s="11">
        <f t="shared" ref="AZ2:AZ42" si="3">K2*51.9961*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A2" s="11">
        <f t="shared" ref="BA2:BA42" si="4">L2*55.845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14.570715718409081</v>
      </c>
      <c r="BB2" s="11">
        <f t="shared" ref="BB2:BB42" si="5">M3*55.845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C2" s="11">
        <f t="shared" ref="BC2:BC42" si="6">N2*54.938044*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D2" s="11">
        <f t="shared" ref="BD2:BD42" si="7">O2*24.305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25.366012752148464</v>
      </c>
      <c r="BE2" s="11">
        <f t="shared" ref="BE2:BE42" si="8">P2*58.6934*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F2" s="11">
        <f t="shared" ref="BF2:BF42" si="9">Q2*65.38*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G2" s="11">
        <f t="shared" ref="BG2:BG42" si="10">R2*40.078*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H2" s="11">
        <f t="shared" ref="BH2:BH42" si="11">S2*22.989769*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I2" s="11">
        <f t="shared" ref="BI2:BI42" si="12">T2*39.0983*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J2" s="56">
        <f t="shared" ref="BJ2:BJ42" si="13">U2*30.973762*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K2" s="11">
        <f t="shared" ref="BK2:BK42" si="14">V2*32.065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L2" s="34">
        <f t="shared" ref="BL2:BL42" si="15">W2*18.9984*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M2" s="11">
        <f t="shared" ref="BM2:BM42" si="16">X2*35.453*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N2" s="11">
        <f t="shared" ref="BN2:BN42" si="17">AA2*12.011*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O2" s="11">
        <f t="shared" ref="BO2:BO42" si="18">Y2*15.999*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41.743554620615434</v>
      </c>
      <c r="BP2" s="11">
        <f t="shared" ref="BP2:BP42" si="19">Z2*1.00784*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Q2" s="54"/>
      <c r="BR2" s="56">
        <f t="shared" ref="BR2:BR42" si="20">AC2*58.933195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S2" s="56">
        <f t="shared" ref="BS2:BS42" si="21">AD2*63.546*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T2" s="56">
        <f t="shared" ref="BT2:BT42" si="22">AE2*9.012182*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U2" s="56">
        <f t="shared" ref="BU2:BU42" si="23">AF2*137.327*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V2" s="56">
        <f t="shared" ref="BV2:BV42" si="24">AG2*87.62*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W2" s="56">
        <f t="shared" ref="BW2:BW42" si="25">AH2*207.2*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X2" s="56">
        <f t="shared" ref="BX2:BX42" si="26">AI2*50.9415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Y2" s="56">
        <f t="shared" ref="BY2:BY34" si="27">AJ2*118.71*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BZ2" s="56">
        <f t="shared" ref="BZ2:BZ42" si="28">AK2*91.224*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CA2" s="56">
        <f t="shared" ref="CA2:CA42" si="29">AL2*88.90585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CB2" s="56">
        <f t="shared" ref="CB2:CB42" si="30">AM2*95.95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CC2" s="56">
        <f t="shared" ref="CC2:CC42" si="31">AN2*183.84*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CD2" s="56">
        <f t="shared" ref="CD2:CD42" si="32">AO2*74.9216*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CE2" s="56">
        <f t="shared" ref="CE2:CE42" si="33">AP2*78.96*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CF2" s="56">
        <f t="shared" ref="CF2:CF42" si="34">AQ2*121.75*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CG2" s="56">
        <f t="shared" ref="CG2:CG42" si="35">AR2*127.6*100/(H2*28.0855+I2*47.867+J2*26.981539+K2*51.9961+L2*55.845+M2*55.845+N2*54.938044+O2*24.305+P2*58.6934+Q2*65.38+R2*40.078+S2*22.989769+T2*39.0983+U2*30.973762+AC2*58.933195+AD2*63.546+AE2*9.012182+AF2*137.327+AG2*87.62+AH2*207.2+AI2*50.9415+AJ2*118.71+AK2*91.224+AL2*88.90585+AM2*95.95+AN2*183.84+AO2*74.9216+W2*18.9984+X2*35.453+Y2*15.999+V2*32.065+Z2*1.00784+AA2*12.011+AP2*78.96+AQ2*121.75+AR2*127.6)</f>
        <v>0</v>
      </c>
      <c r="CH2" s="54"/>
      <c r="CI2" s="11"/>
      <c r="CJ2" s="12">
        <f>SUM(AW2:CG2)</f>
        <v>100.00000000000001</v>
      </c>
      <c r="CK2" s="13"/>
      <c r="CL2" s="60">
        <f t="shared" ref="CL2:CL8" si="36">H2*60.084/(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39.191692540506693</v>
      </c>
      <c r="CM2" s="60">
        <f t="shared" ref="CM2:CM8" si="37">I2*79.866/(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N2" s="60">
        <f t="shared" ref="CN2:CN8" si="38">J2/2*101.961/(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O2" s="60">
        <f t="shared" ref="CO2:CO8" si="39">K2/2*151.99/(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P2" s="60">
        <f t="shared" ref="CP2:CP8" si="40">M2/2*159.69/(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Q2" s="60">
        <f t="shared" ref="CQ2:CQ8" si="41">L2*71.844/(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18.745010045137896</v>
      </c>
      <c r="CR2" s="60">
        <f t="shared" ref="CR2:CR8" si="42">CP2*1/((159.69/71.844)/2)+CQ2</f>
        <v>18.745010045137896</v>
      </c>
      <c r="CS2" s="60">
        <f t="shared" ref="CS2:CS8" si="43">N2*70.937/(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T2" s="60">
        <f t="shared" ref="CT2:CT8" si="44">O2*40.304/(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42.063297414355425</v>
      </c>
      <c r="CU2" s="60">
        <f t="shared" ref="CU2:CU8" si="45">P2*74.693/(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V2" s="60">
        <f t="shared" ref="CV2:CV8" si="46">Q2*81.38/(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W2" s="60">
        <f t="shared" ref="CW2:CW8" si="47">R2*56.077/(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X2" s="60">
        <f t="shared" ref="CX2:CX8" si="48">S2/2*61.979/(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Y2" s="60">
        <f t="shared" ref="CY2:CY8" si="49">T2/2*94.196/(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CZ2" s="60">
        <f t="shared" ref="CZ2:CZ8" si="50">U2/2*141.94/(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A2" s="60">
        <f t="shared" ref="DA2:DA8" si="51">V2*80.06/(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B2" s="60">
        <f t="shared" ref="DB2:DB8" si="52">W2*37.9968/2/(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C2" s="60">
        <f t="shared" ref="DC2:DC8" si="53">X2*70.906/2/(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D2" s="60">
        <f t="shared" ref="DD2:DD8" si="54">Z2/2*18.015/(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E2" s="60">
        <f t="shared" ref="DE2:DE8" si="55">AA2*44.01/(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F2" s="54"/>
      <c r="DG2" s="21">
        <f t="shared" ref="DG2:DG8" si="56">AC2*74.9327/(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H2" s="21">
        <f t="shared" ref="DH2:DH8" si="57">AD2*79.545/(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I2" s="21">
        <f t="shared" ref="DI2:DI8" si="58">AE2*25.0117/(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J2" s="21">
        <f t="shared" ref="DJ2:DJ8" si="59">AF2*153.3395/(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K2" s="21">
        <f t="shared" ref="DK2:DK8" si="60">AG2*103.6195/(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L2" s="21">
        <f t="shared" ref="DL2:DL8" si="61">AH2*223.1895/(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M2" s="21">
        <f t="shared" ref="DM2:DM8" si="62">AI2*181.8815/2/(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N2" s="21">
        <f t="shared" ref="DN2:DN8" si="63">AJ2*150.689/(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O2" s="21">
        <f t="shared" ref="DO2:DO8" si="64">AK2*123.22/(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P2" s="21">
        <f t="shared" ref="DP2:DP8" si="65">AL2*225.8085/2/(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Q2" s="21">
        <f t="shared" ref="DQ2:DQ8" si="66">AM2*143.9385/(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R2" s="21">
        <f t="shared" ref="DR2:DR8" si="67">AN2*231.8485/(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S2" s="21">
        <f t="shared" ref="DS2:DS8" si="68">AO2*229.8407/2/(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T2" s="21">
        <f t="shared" ref="DT2:DT8" si="69">AP2*110.959/(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U2" s="21">
        <f t="shared" ref="DU2:DU8" si="70">AQ2*323.4975/2/(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V2" s="21">
        <f t="shared" ref="DV2:DV8" si="71">AR2*159.599/(H2*60.084+I2*79.866+J2/2*101.961+K2/2*151.99+L2*71.844+M2/2*159.69+N2*70.937+O2*40.304+P2*74.693+Q2*81.38+R2*56.077+S2/2*61.979+T2/2*94.196+U2/2*141.94+V2*80.06+W2*37.9968/2+X2*70.906/2+Z2/2*18.015+AA2*44.01+AC2*74.9327+AD2*79.545+AE2*25.0117+AF2*153.3395+AG2*103.6195+AH2*223.1895+AI2*181.8815/2+AJ2*150.689+AK2*123.22+AL2*225.8085/2+AM2*143.9385+AN2*231.8485+AO2*229.8407/2+AP2*110.959+AQ2*323.4975/2+AR2*159.599)*100</f>
        <v>0</v>
      </c>
      <c r="DX2" s="60" t="e">
        <f t="shared" ref="DX2:DX43" ca="1" si="72">SUMA(CL2:DE2)-CR2+SUMA(DG2:DV2)</f>
        <v>#NAME?</v>
      </c>
    </row>
    <row r="3" spans="1:128" ht="16" customHeight="1">
      <c r="A3" s="4">
        <v>14</v>
      </c>
      <c r="B3" s="57" t="s">
        <v>130</v>
      </c>
      <c r="C3" s="15" t="s">
        <v>108</v>
      </c>
      <c r="D3" s="15"/>
      <c r="H3" s="20"/>
      <c r="I3" s="20"/>
      <c r="J3" s="20">
        <v>5</v>
      </c>
      <c r="K3" s="20"/>
      <c r="L3" s="20"/>
      <c r="M3" s="20"/>
      <c r="N3" s="20"/>
      <c r="O3" s="20"/>
      <c r="P3" s="20"/>
      <c r="Q3" s="20"/>
      <c r="R3" s="20"/>
      <c r="S3" s="20"/>
      <c r="T3" s="9"/>
      <c r="U3" s="9"/>
      <c r="V3" s="9"/>
      <c r="W3" s="9"/>
      <c r="X3" s="9"/>
      <c r="Y3" s="9">
        <v>12</v>
      </c>
      <c r="Z3" s="20"/>
      <c r="AA3" s="20"/>
      <c r="AB3" s="54"/>
      <c r="AC3" s="9"/>
      <c r="AD3" s="9"/>
      <c r="AE3" s="9"/>
      <c r="AF3" s="9"/>
      <c r="AG3" s="9"/>
      <c r="AH3" s="9"/>
      <c r="AI3" s="9"/>
      <c r="AJ3" s="9"/>
      <c r="AK3" s="9"/>
      <c r="AL3" s="9">
        <v>3</v>
      </c>
      <c r="AM3" s="9"/>
      <c r="AN3" s="9"/>
      <c r="AO3" s="9"/>
      <c r="AP3" s="9"/>
      <c r="AQ3" s="9"/>
      <c r="AS3" s="54"/>
      <c r="AU3" s="41" t="s">
        <v>470</v>
      </c>
      <c r="AV3" s="35"/>
      <c r="AW3" s="11">
        <f t="shared" si="0"/>
        <v>0</v>
      </c>
      <c r="AX3" s="11">
        <f t="shared" si="1"/>
        <v>0</v>
      </c>
      <c r="AY3" s="11">
        <f t="shared" si="2"/>
        <v>22.726530470188553</v>
      </c>
      <c r="AZ3" s="11">
        <f t="shared" si="3"/>
        <v>0</v>
      </c>
      <c r="BA3" s="11">
        <f t="shared" si="4"/>
        <v>0</v>
      </c>
      <c r="BB3" s="11">
        <f t="shared" si="5"/>
        <v>0</v>
      </c>
      <c r="BC3" s="11">
        <f t="shared" si="6"/>
        <v>0</v>
      </c>
      <c r="BD3" s="11">
        <f t="shared" si="7"/>
        <v>0</v>
      </c>
      <c r="BE3" s="11">
        <f t="shared" si="8"/>
        <v>0</v>
      </c>
      <c r="BF3" s="11">
        <f t="shared" si="9"/>
        <v>0</v>
      </c>
      <c r="BG3" s="11">
        <f t="shared" si="10"/>
        <v>0</v>
      </c>
      <c r="BH3" s="11">
        <f t="shared" si="11"/>
        <v>0</v>
      </c>
      <c r="BI3" s="11">
        <f t="shared" si="12"/>
        <v>0</v>
      </c>
      <c r="BJ3" s="56">
        <f t="shared" si="13"/>
        <v>0</v>
      </c>
      <c r="BK3" s="11">
        <f t="shared" si="14"/>
        <v>0</v>
      </c>
      <c r="BL3" s="34">
        <f t="shared" si="15"/>
        <v>0</v>
      </c>
      <c r="BM3" s="11">
        <f t="shared" si="16"/>
        <v>0</v>
      </c>
      <c r="BN3" s="11">
        <f t="shared" si="17"/>
        <v>0</v>
      </c>
      <c r="BO3" s="11">
        <f t="shared" si="18"/>
        <v>32.342270260495958</v>
      </c>
      <c r="BP3" s="11">
        <f t="shared" si="19"/>
        <v>0</v>
      </c>
      <c r="BQ3" s="54"/>
      <c r="BR3" s="56">
        <f t="shared" si="20"/>
        <v>0</v>
      </c>
      <c r="BS3" s="56">
        <f t="shared" si="21"/>
        <v>0</v>
      </c>
      <c r="BT3" s="56">
        <f t="shared" si="22"/>
        <v>0</v>
      </c>
      <c r="BU3" s="56">
        <f t="shared" si="23"/>
        <v>0</v>
      </c>
      <c r="BV3" s="56">
        <f t="shared" si="24"/>
        <v>0</v>
      </c>
      <c r="BW3" s="56">
        <f t="shared" si="25"/>
        <v>0</v>
      </c>
      <c r="BX3" s="56">
        <f t="shared" si="26"/>
        <v>0</v>
      </c>
      <c r="BY3" s="56">
        <f t="shared" si="27"/>
        <v>0</v>
      </c>
      <c r="BZ3" s="56">
        <f t="shared" si="28"/>
        <v>0</v>
      </c>
      <c r="CA3" s="56">
        <f t="shared" si="29"/>
        <v>44.931199269315499</v>
      </c>
      <c r="CB3" s="56">
        <f t="shared" si="30"/>
        <v>0</v>
      </c>
      <c r="CC3" s="56">
        <f t="shared" si="31"/>
        <v>0</v>
      </c>
      <c r="CD3" s="56">
        <f t="shared" si="32"/>
        <v>0</v>
      </c>
      <c r="CE3" s="56">
        <f t="shared" si="33"/>
        <v>0</v>
      </c>
      <c r="CF3" s="56">
        <f t="shared" si="34"/>
        <v>0</v>
      </c>
      <c r="CG3" s="56">
        <f t="shared" si="35"/>
        <v>0</v>
      </c>
      <c r="CH3" s="54"/>
      <c r="CI3" s="11"/>
      <c r="CJ3" s="12">
        <f t="shared" ref="CJ3:CJ50" si="73">SUM(AW3:CG3)</f>
        <v>100.00000000000001</v>
      </c>
      <c r="CK3" s="13"/>
      <c r="CL3" s="60">
        <f t="shared" si="36"/>
        <v>0</v>
      </c>
      <c r="CM3" s="60">
        <f t="shared" si="37"/>
        <v>0</v>
      </c>
      <c r="CN3" s="60">
        <f t="shared" si="38"/>
        <v>42.940692645615144</v>
      </c>
      <c r="CO3" s="60">
        <f t="shared" si="39"/>
        <v>0</v>
      </c>
      <c r="CP3" s="60">
        <f t="shared" si="40"/>
        <v>0</v>
      </c>
      <c r="CQ3" s="60">
        <f t="shared" si="41"/>
        <v>0</v>
      </c>
      <c r="CR3" s="60">
        <f t="shared" si="42"/>
        <v>0</v>
      </c>
      <c r="CS3" s="60">
        <f t="shared" si="43"/>
        <v>0</v>
      </c>
      <c r="CT3" s="60">
        <f t="shared" si="44"/>
        <v>0</v>
      </c>
      <c r="CU3" s="60">
        <f t="shared" si="45"/>
        <v>0</v>
      </c>
      <c r="CV3" s="60">
        <f t="shared" si="46"/>
        <v>0</v>
      </c>
      <c r="CW3" s="60">
        <f t="shared" si="47"/>
        <v>0</v>
      </c>
      <c r="CX3" s="60">
        <f t="shared" si="48"/>
        <v>0</v>
      </c>
      <c r="CY3" s="60">
        <f t="shared" si="49"/>
        <v>0</v>
      </c>
      <c r="CZ3" s="60">
        <f t="shared" si="50"/>
        <v>0</v>
      </c>
      <c r="DA3" s="60">
        <f t="shared" si="51"/>
        <v>0</v>
      </c>
      <c r="DB3" s="60">
        <f t="shared" si="52"/>
        <v>0</v>
      </c>
      <c r="DC3" s="60">
        <f t="shared" si="53"/>
        <v>0</v>
      </c>
      <c r="DD3" s="60">
        <f t="shared" si="54"/>
        <v>0</v>
      </c>
      <c r="DE3" s="60">
        <f t="shared" si="55"/>
        <v>0</v>
      </c>
      <c r="DF3" s="54"/>
      <c r="DG3" s="21">
        <f t="shared" si="56"/>
        <v>0</v>
      </c>
      <c r="DH3" s="21">
        <f t="shared" si="57"/>
        <v>0</v>
      </c>
      <c r="DI3" s="21">
        <f t="shared" si="58"/>
        <v>0</v>
      </c>
      <c r="DJ3" s="21">
        <f t="shared" si="59"/>
        <v>0</v>
      </c>
      <c r="DK3" s="21">
        <f t="shared" si="60"/>
        <v>0</v>
      </c>
      <c r="DL3" s="21">
        <f t="shared" si="61"/>
        <v>0</v>
      </c>
      <c r="DM3" s="21">
        <f t="shared" si="62"/>
        <v>0</v>
      </c>
      <c r="DN3" s="21">
        <f t="shared" si="63"/>
        <v>0</v>
      </c>
      <c r="DO3" s="21">
        <f t="shared" si="64"/>
        <v>0</v>
      </c>
      <c r="DP3" s="21">
        <f t="shared" si="65"/>
        <v>57.059307354384849</v>
      </c>
      <c r="DQ3" s="21">
        <f t="shared" si="66"/>
        <v>0</v>
      </c>
      <c r="DR3" s="21">
        <f t="shared" si="67"/>
        <v>0</v>
      </c>
      <c r="DS3" s="21">
        <f t="shared" si="68"/>
        <v>0</v>
      </c>
      <c r="DT3" s="21">
        <f t="shared" si="69"/>
        <v>0</v>
      </c>
      <c r="DU3" s="21">
        <f t="shared" si="70"/>
        <v>0</v>
      </c>
      <c r="DV3" s="21">
        <f t="shared" si="71"/>
        <v>0</v>
      </c>
      <c r="DX3" s="60" t="e">
        <f t="shared" ca="1" si="72"/>
        <v>#NAME?</v>
      </c>
    </row>
    <row r="4" spans="1:128" ht="16" customHeight="1">
      <c r="A4" s="4">
        <v>16</v>
      </c>
      <c r="B4" s="57" t="s">
        <v>133</v>
      </c>
      <c r="C4" s="15" t="s">
        <v>108</v>
      </c>
      <c r="D4" s="15"/>
      <c r="H4" s="20">
        <v>1</v>
      </c>
      <c r="I4" s="20">
        <v>1</v>
      </c>
      <c r="J4" s="20"/>
      <c r="K4" s="20"/>
      <c r="L4" s="20"/>
      <c r="M4" s="20"/>
      <c r="N4" s="20"/>
      <c r="O4" s="20"/>
      <c r="P4" s="20"/>
      <c r="Q4" s="20"/>
      <c r="R4" s="20">
        <v>1</v>
      </c>
      <c r="S4" s="20"/>
      <c r="T4" s="9"/>
      <c r="U4" s="9"/>
      <c r="V4" s="9"/>
      <c r="W4" s="9"/>
      <c r="X4" s="9"/>
      <c r="Y4" s="9">
        <v>5</v>
      </c>
      <c r="Z4" s="20"/>
      <c r="AA4" s="20"/>
      <c r="AB4" s="54"/>
      <c r="AC4" s="9"/>
      <c r="AD4" s="9"/>
      <c r="AE4" s="9"/>
      <c r="AF4" s="9"/>
      <c r="AG4" s="9"/>
      <c r="AH4" s="9"/>
      <c r="AI4" s="9"/>
      <c r="AJ4" s="9"/>
      <c r="AK4" s="9"/>
      <c r="AL4" s="9"/>
      <c r="AM4" s="9"/>
      <c r="AN4" s="9"/>
      <c r="AO4" s="9"/>
      <c r="AP4" s="9"/>
      <c r="AQ4" s="9"/>
      <c r="AS4" s="54"/>
      <c r="AU4" s="41" t="s">
        <v>470</v>
      </c>
      <c r="AV4" s="35"/>
      <c r="AW4" s="11">
        <f t="shared" si="0"/>
        <v>14.327472701255703</v>
      </c>
      <c r="AX4" s="11">
        <f t="shared" si="1"/>
        <v>24.418761844759988</v>
      </c>
      <c r="AY4" s="11">
        <f t="shared" si="2"/>
        <v>0</v>
      </c>
      <c r="AZ4" s="11">
        <f t="shared" si="3"/>
        <v>0</v>
      </c>
      <c r="BA4" s="11">
        <f t="shared" si="4"/>
        <v>0</v>
      </c>
      <c r="BB4" s="11">
        <f t="shared" si="5"/>
        <v>0</v>
      </c>
      <c r="BC4" s="11">
        <f t="shared" si="6"/>
        <v>0</v>
      </c>
      <c r="BD4" s="11">
        <f t="shared" si="7"/>
        <v>0</v>
      </c>
      <c r="BE4" s="11">
        <f t="shared" si="8"/>
        <v>0</v>
      </c>
      <c r="BF4" s="11">
        <f t="shared" si="9"/>
        <v>0</v>
      </c>
      <c r="BG4" s="11">
        <f t="shared" si="10"/>
        <v>20.445299208521337</v>
      </c>
      <c r="BH4" s="11">
        <f t="shared" si="11"/>
        <v>0</v>
      </c>
      <c r="BI4" s="11">
        <f t="shared" si="12"/>
        <v>0</v>
      </c>
      <c r="BJ4" s="56">
        <f t="shared" si="13"/>
        <v>0</v>
      </c>
      <c r="BK4" s="11">
        <f t="shared" si="14"/>
        <v>0</v>
      </c>
      <c r="BL4" s="34">
        <f t="shared" si="15"/>
        <v>0</v>
      </c>
      <c r="BM4" s="11">
        <f t="shared" si="16"/>
        <v>0</v>
      </c>
      <c r="BN4" s="11">
        <f t="shared" si="17"/>
        <v>0</v>
      </c>
      <c r="BO4" s="11">
        <f t="shared" si="18"/>
        <v>40.808466245462959</v>
      </c>
      <c r="BP4" s="11">
        <f t="shared" si="19"/>
        <v>0</v>
      </c>
      <c r="BQ4" s="54"/>
      <c r="BR4" s="56">
        <f t="shared" si="20"/>
        <v>0</v>
      </c>
      <c r="BS4" s="56">
        <f t="shared" si="21"/>
        <v>0</v>
      </c>
      <c r="BT4" s="56">
        <f t="shared" si="22"/>
        <v>0</v>
      </c>
      <c r="BU4" s="56">
        <f t="shared" si="23"/>
        <v>0</v>
      </c>
      <c r="BV4" s="56">
        <f t="shared" si="24"/>
        <v>0</v>
      </c>
      <c r="BW4" s="56">
        <f t="shared" si="25"/>
        <v>0</v>
      </c>
      <c r="BX4" s="56">
        <f t="shared" si="26"/>
        <v>0</v>
      </c>
      <c r="BY4" s="56">
        <f t="shared" si="27"/>
        <v>0</v>
      </c>
      <c r="BZ4" s="56">
        <f t="shared" si="28"/>
        <v>0</v>
      </c>
      <c r="CA4" s="56">
        <f t="shared" si="29"/>
        <v>0</v>
      </c>
      <c r="CB4" s="56">
        <f t="shared" si="30"/>
        <v>0</v>
      </c>
      <c r="CC4" s="56">
        <f t="shared" si="31"/>
        <v>0</v>
      </c>
      <c r="CD4" s="56">
        <f t="shared" si="32"/>
        <v>0</v>
      </c>
      <c r="CE4" s="56">
        <f t="shared" si="33"/>
        <v>0</v>
      </c>
      <c r="CF4" s="56">
        <f t="shared" si="34"/>
        <v>0</v>
      </c>
      <c r="CG4" s="56">
        <f t="shared" si="35"/>
        <v>0</v>
      </c>
      <c r="CH4" s="54"/>
      <c r="CI4" s="11"/>
      <c r="CJ4" s="12">
        <f t="shared" si="73"/>
        <v>100</v>
      </c>
      <c r="CK4" s="13"/>
      <c r="CL4" s="60">
        <f t="shared" si="36"/>
        <v>30.650879725752066</v>
      </c>
      <c r="CM4" s="60">
        <f t="shared" si="37"/>
        <v>40.742346717544017</v>
      </c>
      <c r="CN4" s="60">
        <f t="shared" si="38"/>
        <v>0</v>
      </c>
      <c r="CO4" s="60">
        <f t="shared" si="39"/>
        <v>0</v>
      </c>
      <c r="CP4" s="60">
        <f t="shared" si="40"/>
        <v>0</v>
      </c>
      <c r="CQ4" s="60">
        <f t="shared" si="41"/>
        <v>0</v>
      </c>
      <c r="CR4" s="60">
        <f t="shared" si="42"/>
        <v>0</v>
      </c>
      <c r="CS4" s="60">
        <f t="shared" si="43"/>
        <v>0</v>
      </c>
      <c r="CT4" s="60">
        <f t="shared" si="44"/>
        <v>0</v>
      </c>
      <c r="CU4" s="60">
        <f t="shared" si="45"/>
        <v>0</v>
      </c>
      <c r="CV4" s="60">
        <f t="shared" si="46"/>
        <v>0</v>
      </c>
      <c r="CW4" s="60">
        <f t="shared" si="47"/>
        <v>28.606773556703924</v>
      </c>
      <c r="CX4" s="60">
        <f t="shared" si="48"/>
        <v>0</v>
      </c>
      <c r="CY4" s="60">
        <f t="shared" si="49"/>
        <v>0</v>
      </c>
      <c r="CZ4" s="60">
        <f t="shared" si="50"/>
        <v>0</v>
      </c>
      <c r="DA4" s="60">
        <f t="shared" si="51"/>
        <v>0</v>
      </c>
      <c r="DB4" s="60">
        <f t="shared" si="52"/>
        <v>0</v>
      </c>
      <c r="DC4" s="60">
        <f t="shared" si="53"/>
        <v>0</v>
      </c>
      <c r="DD4" s="60">
        <f t="shared" si="54"/>
        <v>0</v>
      </c>
      <c r="DE4" s="60">
        <f t="shared" si="55"/>
        <v>0</v>
      </c>
      <c r="DF4" s="54"/>
      <c r="DG4" s="21">
        <f t="shared" si="56"/>
        <v>0</v>
      </c>
      <c r="DH4" s="21">
        <f t="shared" si="57"/>
        <v>0</v>
      </c>
      <c r="DI4" s="21">
        <f t="shared" si="58"/>
        <v>0</v>
      </c>
      <c r="DJ4" s="21">
        <f t="shared" si="59"/>
        <v>0</v>
      </c>
      <c r="DK4" s="21">
        <f t="shared" si="60"/>
        <v>0</v>
      </c>
      <c r="DL4" s="21">
        <f t="shared" si="61"/>
        <v>0</v>
      </c>
      <c r="DM4" s="21">
        <f t="shared" si="62"/>
        <v>0</v>
      </c>
      <c r="DN4" s="21">
        <f t="shared" si="63"/>
        <v>0</v>
      </c>
      <c r="DO4" s="21">
        <f t="shared" si="64"/>
        <v>0</v>
      </c>
      <c r="DP4" s="21">
        <f t="shared" si="65"/>
        <v>0</v>
      </c>
      <c r="DQ4" s="21">
        <f t="shared" si="66"/>
        <v>0</v>
      </c>
      <c r="DR4" s="21">
        <f t="shared" si="67"/>
        <v>0</v>
      </c>
      <c r="DS4" s="21">
        <f t="shared" si="68"/>
        <v>0</v>
      </c>
      <c r="DT4" s="21">
        <f t="shared" si="69"/>
        <v>0</v>
      </c>
      <c r="DU4" s="21">
        <f t="shared" si="70"/>
        <v>0</v>
      </c>
      <c r="DV4" s="21">
        <f t="shared" si="71"/>
        <v>0</v>
      </c>
      <c r="DX4" s="60" t="e">
        <f t="shared" ca="1" si="72"/>
        <v>#NAME?</v>
      </c>
    </row>
    <row r="5" spans="1:128" ht="16" customHeight="1">
      <c r="A5" s="4">
        <v>35</v>
      </c>
      <c r="B5" s="17" t="s">
        <v>132</v>
      </c>
      <c r="C5" s="15" t="s">
        <v>108</v>
      </c>
      <c r="H5" s="20"/>
      <c r="I5" s="20"/>
      <c r="J5" s="20"/>
      <c r="K5" s="20"/>
      <c r="L5" s="20"/>
      <c r="M5" s="20"/>
      <c r="N5" s="20"/>
      <c r="O5" s="20"/>
      <c r="P5" s="20"/>
      <c r="Q5" s="20"/>
      <c r="R5" s="20"/>
      <c r="S5" s="20"/>
      <c r="T5" s="20"/>
      <c r="U5" s="20"/>
      <c r="V5" s="9"/>
      <c r="W5" s="9"/>
      <c r="X5" s="9"/>
      <c r="Y5" s="9">
        <f>2*0.98+3*0.08</f>
        <v>2.2000000000000002</v>
      </c>
      <c r="Z5" s="20"/>
      <c r="AA5" s="20"/>
      <c r="AC5" s="9"/>
      <c r="AD5" s="9"/>
      <c r="AE5" s="9"/>
      <c r="AF5" s="9"/>
      <c r="AG5" s="9"/>
      <c r="AH5" s="9"/>
      <c r="AI5" s="9"/>
      <c r="AJ5" s="9"/>
      <c r="AK5" s="9">
        <f>0.98</f>
        <v>0.98</v>
      </c>
      <c r="AL5" s="9">
        <f>2*0.08</f>
        <v>0.16</v>
      </c>
      <c r="AM5" s="9"/>
      <c r="AN5" s="9"/>
      <c r="AO5" s="9"/>
      <c r="AP5" s="9"/>
      <c r="AQ5" s="9"/>
      <c r="AU5" s="41" t="s">
        <v>470</v>
      </c>
      <c r="AV5" s="35"/>
      <c r="AW5" s="11">
        <f t="shared" si="0"/>
        <v>0</v>
      </c>
      <c r="AX5" s="11">
        <f t="shared" si="1"/>
        <v>0</v>
      </c>
      <c r="AY5" s="11">
        <f t="shared" si="2"/>
        <v>0</v>
      </c>
      <c r="AZ5" s="11">
        <f t="shared" si="3"/>
        <v>0</v>
      </c>
      <c r="BA5" s="11">
        <f t="shared" si="4"/>
        <v>0</v>
      </c>
      <c r="BB5" s="11">
        <f t="shared" si="5"/>
        <v>0</v>
      </c>
      <c r="BC5" s="11">
        <f t="shared" si="6"/>
        <v>0</v>
      </c>
      <c r="BD5" s="11">
        <f t="shared" si="7"/>
        <v>0</v>
      </c>
      <c r="BE5" s="11">
        <f t="shared" si="8"/>
        <v>0</v>
      </c>
      <c r="BF5" s="11">
        <f t="shared" si="9"/>
        <v>0</v>
      </c>
      <c r="BG5" s="11">
        <f t="shared" si="10"/>
        <v>0</v>
      </c>
      <c r="BH5" s="11">
        <f t="shared" si="11"/>
        <v>0</v>
      </c>
      <c r="BI5" s="11">
        <f t="shared" si="12"/>
        <v>0</v>
      </c>
      <c r="BJ5" s="56">
        <f t="shared" si="13"/>
        <v>0</v>
      </c>
      <c r="BK5" s="11">
        <f t="shared" si="14"/>
        <v>0</v>
      </c>
      <c r="BL5" s="34">
        <f t="shared" si="15"/>
        <v>0</v>
      </c>
      <c r="BM5" s="11">
        <f t="shared" si="16"/>
        <v>0</v>
      </c>
      <c r="BN5" s="11">
        <f t="shared" si="17"/>
        <v>0</v>
      </c>
      <c r="BO5" s="11">
        <f t="shared" si="18"/>
        <v>25.354580032181588</v>
      </c>
      <c r="BP5" s="11">
        <f t="shared" si="19"/>
        <v>0</v>
      </c>
      <c r="BQ5" s="54"/>
      <c r="BR5" s="56">
        <f t="shared" si="20"/>
        <v>0</v>
      </c>
      <c r="BS5" s="56">
        <f t="shared" si="21"/>
        <v>0</v>
      </c>
      <c r="BT5" s="56">
        <f t="shared" si="22"/>
        <v>0</v>
      </c>
      <c r="BU5" s="56">
        <f t="shared" si="23"/>
        <v>0</v>
      </c>
      <c r="BV5" s="56">
        <f t="shared" si="24"/>
        <v>0</v>
      </c>
      <c r="BW5" s="56">
        <f t="shared" si="25"/>
        <v>0</v>
      </c>
      <c r="BX5" s="56">
        <f t="shared" si="26"/>
        <v>0</v>
      </c>
      <c r="BY5" s="56">
        <f t="shared" si="27"/>
        <v>0</v>
      </c>
      <c r="BZ5" s="56">
        <f t="shared" si="28"/>
        <v>64.398550042292939</v>
      </c>
      <c r="CA5" s="56">
        <f t="shared" si="29"/>
        <v>10.246869925525488</v>
      </c>
      <c r="CB5" s="56">
        <f t="shared" si="30"/>
        <v>0</v>
      </c>
      <c r="CC5" s="56">
        <f t="shared" si="31"/>
        <v>0</v>
      </c>
      <c r="CD5" s="56">
        <f t="shared" si="32"/>
        <v>0</v>
      </c>
      <c r="CE5" s="56">
        <f t="shared" si="33"/>
        <v>0</v>
      </c>
      <c r="CF5" s="56">
        <f t="shared" si="34"/>
        <v>0</v>
      </c>
      <c r="CG5" s="56">
        <f t="shared" si="35"/>
        <v>0</v>
      </c>
      <c r="CH5" s="54"/>
      <c r="CI5" s="11"/>
      <c r="CJ5" s="12">
        <f t="shared" si="73"/>
        <v>100.00000000000001</v>
      </c>
      <c r="CL5" s="60">
        <f t="shared" si="36"/>
        <v>0</v>
      </c>
      <c r="CM5" s="60">
        <f t="shared" si="37"/>
        <v>0</v>
      </c>
      <c r="CN5" s="60">
        <f t="shared" si="38"/>
        <v>0</v>
      </c>
      <c r="CO5" s="60">
        <f t="shared" si="39"/>
        <v>0</v>
      </c>
      <c r="CP5" s="60">
        <f t="shared" si="40"/>
        <v>0</v>
      </c>
      <c r="CQ5" s="60">
        <f t="shared" si="41"/>
        <v>0</v>
      </c>
      <c r="CR5" s="60">
        <f t="shared" si="42"/>
        <v>0</v>
      </c>
      <c r="CS5" s="60">
        <f t="shared" si="43"/>
        <v>0</v>
      </c>
      <c r="CT5" s="60">
        <f t="shared" si="44"/>
        <v>0</v>
      </c>
      <c r="CU5" s="60">
        <f t="shared" si="45"/>
        <v>0</v>
      </c>
      <c r="CV5" s="60">
        <f t="shared" si="46"/>
        <v>0</v>
      </c>
      <c r="CW5" s="60">
        <f t="shared" si="47"/>
        <v>0</v>
      </c>
      <c r="CX5" s="60">
        <f t="shared" si="48"/>
        <v>0</v>
      </c>
      <c r="CY5" s="60">
        <f t="shared" si="49"/>
        <v>0</v>
      </c>
      <c r="CZ5" s="60">
        <f t="shared" si="50"/>
        <v>0</v>
      </c>
      <c r="DA5" s="60">
        <f t="shared" si="51"/>
        <v>0</v>
      </c>
      <c r="DB5" s="60">
        <f t="shared" si="52"/>
        <v>0</v>
      </c>
      <c r="DC5" s="60">
        <f t="shared" si="53"/>
        <v>0</v>
      </c>
      <c r="DD5" s="60">
        <f t="shared" si="54"/>
        <v>0</v>
      </c>
      <c r="DE5" s="60">
        <f t="shared" si="55"/>
        <v>0</v>
      </c>
      <c r="DF5" s="54"/>
      <c r="DG5" s="21">
        <f t="shared" si="56"/>
        <v>0</v>
      </c>
      <c r="DH5" s="21">
        <f t="shared" si="57"/>
        <v>0</v>
      </c>
      <c r="DI5" s="21">
        <f t="shared" si="58"/>
        <v>0</v>
      </c>
      <c r="DJ5" s="21">
        <f t="shared" si="59"/>
        <v>0</v>
      </c>
      <c r="DK5" s="21">
        <f t="shared" si="60"/>
        <v>0</v>
      </c>
      <c r="DL5" s="21">
        <f t="shared" si="61"/>
        <v>0</v>
      </c>
      <c r="DM5" s="21">
        <f t="shared" si="62"/>
        <v>0</v>
      </c>
      <c r="DN5" s="21">
        <f t="shared" si="63"/>
        <v>0</v>
      </c>
      <c r="DO5" s="21">
        <f t="shared" si="64"/>
        <v>86.987002187288482</v>
      </c>
      <c r="DP5" s="21">
        <f t="shared" si="65"/>
        <v>13.012997812711516</v>
      </c>
      <c r="DQ5" s="21">
        <f t="shared" si="66"/>
        <v>0</v>
      </c>
      <c r="DR5" s="21">
        <f t="shared" si="67"/>
        <v>0</v>
      </c>
      <c r="DS5" s="21">
        <f t="shared" si="68"/>
        <v>0</v>
      </c>
      <c r="DT5" s="21">
        <f t="shared" si="69"/>
        <v>0</v>
      </c>
      <c r="DU5" s="21">
        <f t="shared" si="70"/>
        <v>0</v>
      </c>
      <c r="DV5" s="21">
        <f t="shared" si="71"/>
        <v>0</v>
      </c>
      <c r="DX5" s="60" t="e">
        <f t="shared" ca="1" si="72"/>
        <v>#NAME?</v>
      </c>
    </row>
    <row r="6" spans="1:128" ht="16" customHeight="1">
      <c r="A6" s="4">
        <v>35</v>
      </c>
      <c r="B6" s="17" t="s">
        <v>131</v>
      </c>
      <c r="C6" s="15" t="s">
        <v>41</v>
      </c>
      <c r="H6" s="20"/>
      <c r="I6" s="20"/>
      <c r="J6" s="20"/>
      <c r="K6" s="20"/>
      <c r="L6" s="20"/>
      <c r="M6" s="20"/>
      <c r="N6" s="20"/>
      <c r="O6" s="20"/>
      <c r="P6" s="20"/>
      <c r="Q6" s="20"/>
      <c r="R6" s="20">
        <v>5</v>
      </c>
      <c r="S6" s="20"/>
      <c r="T6" s="20"/>
      <c r="U6" s="20">
        <v>3</v>
      </c>
      <c r="V6" s="9"/>
      <c r="W6" s="9">
        <f>1/3</f>
        <v>0.33333333333333331</v>
      </c>
      <c r="X6" s="9">
        <f>1/3</f>
        <v>0.33333333333333331</v>
      </c>
      <c r="Y6" s="9">
        <f>12+1/3</f>
        <v>12.333333333333334</v>
      </c>
      <c r="Z6" s="20">
        <f>1/3</f>
        <v>0.33333333333333331</v>
      </c>
      <c r="AA6" s="20"/>
      <c r="AC6" s="9"/>
      <c r="AD6" s="9"/>
      <c r="AE6" s="9"/>
      <c r="AF6" s="9"/>
      <c r="AG6" s="9"/>
      <c r="AH6" s="9"/>
      <c r="AI6" s="9"/>
      <c r="AJ6" s="9"/>
      <c r="AK6" s="9"/>
      <c r="AL6" s="9"/>
      <c r="AM6" s="9"/>
      <c r="AN6" s="9"/>
      <c r="AO6" s="9"/>
      <c r="AP6" s="9"/>
      <c r="AQ6" s="9"/>
      <c r="AU6" s="41" t="s">
        <v>470</v>
      </c>
      <c r="AV6" s="35"/>
      <c r="AW6" s="11">
        <f t="shared" si="0"/>
        <v>0</v>
      </c>
      <c r="AX6" s="11">
        <f t="shared" si="1"/>
        <v>0</v>
      </c>
      <c r="AY6" s="11">
        <f t="shared" si="2"/>
        <v>0</v>
      </c>
      <c r="AZ6" s="11">
        <f t="shared" si="3"/>
        <v>0</v>
      </c>
      <c r="BA6" s="11">
        <f t="shared" si="4"/>
        <v>0</v>
      </c>
      <c r="BB6" s="11">
        <f t="shared" si="5"/>
        <v>0</v>
      </c>
      <c r="BC6" s="11">
        <f t="shared" si="6"/>
        <v>0</v>
      </c>
      <c r="BD6" s="11">
        <f t="shared" si="7"/>
        <v>0</v>
      </c>
      <c r="BE6" s="11">
        <f t="shared" si="8"/>
        <v>0</v>
      </c>
      <c r="BF6" s="11">
        <f t="shared" si="9"/>
        <v>0</v>
      </c>
      <c r="BG6" s="11">
        <f t="shared" si="10"/>
        <v>39.36017283639378</v>
      </c>
      <c r="BH6" s="11">
        <f t="shared" si="11"/>
        <v>0</v>
      </c>
      <c r="BI6" s="11">
        <f t="shared" si="12"/>
        <v>0</v>
      </c>
      <c r="BJ6" s="56">
        <f t="shared" si="13"/>
        <v>18.251399157343069</v>
      </c>
      <c r="BK6" s="11">
        <f t="shared" si="14"/>
        <v>0</v>
      </c>
      <c r="BL6" s="34">
        <f t="shared" si="15"/>
        <v>1.2438749565263463</v>
      </c>
      <c r="BM6" s="11">
        <f t="shared" si="16"/>
        <v>2.3212006713054025</v>
      </c>
      <c r="BN6" s="11">
        <f t="shared" si="17"/>
        <v>0</v>
      </c>
      <c r="BO6" s="11">
        <f t="shared" si="18"/>
        <v>38.757366456659803</v>
      </c>
      <c r="BP6" s="11">
        <f t="shared" si="19"/>
        <v>6.5985921771597233E-2</v>
      </c>
      <c r="BQ6" s="54"/>
      <c r="BR6" s="56">
        <f t="shared" si="20"/>
        <v>0</v>
      </c>
      <c r="BS6" s="56">
        <f t="shared" si="21"/>
        <v>0</v>
      </c>
      <c r="BT6" s="56">
        <f t="shared" si="22"/>
        <v>0</v>
      </c>
      <c r="BU6" s="56">
        <f t="shared" si="23"/>
        <v>0</v>
      </c>
      <c r="BV6" s="56">
        <f t="shared" si="24"/>
        <v>0</v>
      </c>
      <c r="BW6" s="56">
        <f t="shared" si="25"/>
        <v>0</v>
      </c>
      <c r="BX6" s="56">
        <f t="shared" si="26"/>
        <v>0</v>
      </c>
      <c r="BY6" s="56">
        <f t="shared" si="27"/>
        <v>0</v>
      </c>
      <c r="BZ6" s="56">
        <f t="shared" si="28"/>
        <v>0</v>
      </c>
      <c r="CA6" s="56">
        <f t="shared" si="29"/>
        <v>0</v>
      </c>
      <c r="CB6" s="56">
        <f t="shared" si="30"/>
        <v>0</v>
      </c>
      <c r="CC6" s="56">
        <f t="shared" si="31"/>
        <v>0</v>
      </c>
      <c r="CD6" s="56">
        <f t="shared" si="32"/>
        <v>0</v>
      </c>
      <c r="CE6" s="56">
        <f t="shared" si="33"/>
        <v>0</v>
      </c>
      <c r="CF6" s="56">
        <f t="shared" si="34"/>
        <v>0</v>
      </c>
      <c r="CG6" s="56">
        <f t="shared" si="35"/>
        <v>0</v>
      </c>
      <c r="CH6" s="54"/>
      <c r="CI6" s="11"/>
      <c r="CJ6" s="12">
        <f t="shared" si="73"/>
        <v>100</v>
      </c>
      <c r="CL6" s="60">
        <f t="shared" si="36"/>
        <v>0</v>
      </c>
      <c r="CM6" s="60">
        <f t="shared" si="37"/>
        <v>0</v>
      </c>
      <c r="CN6" s="60">
        <f t="shared" si="38"/>
        <v>0</v>
      </c>
      <c r="CO6" s="60">
        <f t="shared" si="39"/>
        <v>0</v>
      </c>
      <c r="CP6" s="60">
        <f t="shared" si="40"/>
        <v>0</v>
      </c>
      <c r="CQ6" s="60">
        <f t="shared" si="41"/>
        <v>0</v>
      </c>
      <c r="CR6" s="60">
        <f t="shared" si="42"/>
        <v>0</v>
      </c>
      <c r="CS6" s="60">
        <f t="shared" si="43"/>
        <v>0</v>
      </c>
      <c r="CT6" s="60">
        <f t="shared" si="44"/>
        <v>0</v>
      </c>
      <c r="CU6" s="60">
        <f t="shared" si="45"/>
        <v>0</v>
      </c>
      <c r="CV6" s="60">
        <f t="shared" si="46"/>
        <v>0</v>
      </c>
      <c r="CW6" s="60">
        <f t="shared" si="47"/>
        <v>54.502110644296444</v>
      </c>
      <c r="CX6" s="60">
        <f t="shared" si="48"/>
        <v>0</v>
      </c>
      <c r="CY6" s="60">
        <f t="shared" si="49"/>
        <v>0</v>
      </c>
      <c r="CZ6" s="60">
        <f t="shared" si="50"/>
        <v>41.386109732250851</v>
      </c>
      <c r="DA6" s="60">
        <f t="shared" si="51"/>
        <v>0</v>
      </c>
      <c r="DB6" s="60">
        <f t="shared" si="52"/>
        <v>1.2309894120163365</v>
      </c>
      <c r="DC6" s="60">
        <f t="shared" si="53"/>
        <v>2.2971548985290964</v>
      </c>
      <c r="DD6" s="60">
        <f t="shared" si="54"/>
        <v>0.58363531290725279</v>
      </c>
      <c r="DE6" s="60">
        <f t="shared" si="55"/>
        <v>0</v>
      </c>
      <c r="DF6" s="54"/>
      <c r="DG6" s="21">
        <f t="shared" si="56"/>
        <v>0</v>
      </c>
      <c r="DH6" s="21">
        <f t="shared" si="57"/>
        <v>0</v>
      </c>
      <c r="DI6" s="21">
        <f t="shared" si="58"/>
        <v>0</v>
      </c>
      <c r="DJ6" s="21">
        <f t="shared" si="59"/>
        <v>0</v>
      </c>
      <c r="DK6" s="21">
        <f t="shared" si="60"/>
        <v>0</v>
      </c>
      <c r="DL6" s="21">
        <f t="shared" si="61"/>
        <v>0</v>
      </c>
      <c r="DM6" s="21">
        <f t="shared" si="62"/>
        <v>0</v>
      </c>
      <c r="DN6" s="21">
        <f t="shared" si="63"/>
        <v>0</v>
      </c>
      <c r="DO6" s="21">
        <f t="shared" si="64"/>
        <v>0</v>
      </c>
      <c r="DP6" s="21">
        <f t="shared" si="65"/>
        <v>0</v>
      </c>
      <c r="DQ6" s="21">
        <f t="shared" si="66"/>
        <v>0</v>
      </c>
      <c r="DR6" s="21">
        <f t="shared" si="67"/>
        <v>0</v>
      </c>
      <c r="DS6" s="21">
        <f t="shared" si="68"/>
        <v>0</v>
      </c>
      <c r="DT6" s="21">
        <f t="shared" si="69"/>
        <v>0</v>
      </c>
      <c r="DU6" s="21">
        <f t="shared" si="70"/>
        <v>0</v>
      </c>
      <c r="DV6" s="21">
        <f t="shared" si="71"/>
        <v>0</v>
      </c>
      <c r="DX6" s="60" t="e">
        <f t="shared" ca="1" si="72"/>
        <v>#NAME?</v>
      </c>
    </row>
    <row r="7" spans="1:128" s="18" customFormat="1" ht="16" customHeight="1">
      <c r="B7" s="17" t="s">
        <v>25</v>
      </c>
      <c r="C7" s="18" t="s">
        <v>321</v>
      </c>
      <c r="H7" s="20">
        <v>34</v>
      </c>
      <c r="I7" s="20"/>
      <c r="J7" s="20"/>
      <c r="K7" s="20"/>
      <c r="L7" s="20"/>
      <c r="M7" s="20"/>
      <c r="N7" s="20"/>
      <c r="O7" s="20">
        <v>48</v>
      </c>
      <c r="P7" s="20"/>
      <c r="Q7" s="20"/>
      <c r="R7" s="20"/>
      <c r="S7" s="20"/>
      <c r="T7" s="33"/>
      <c r="U7" s="33"/>
      <c r="V7" s="33"/>
      <c r="W7" s="33"/>
      <c r="X7" s="33"/>
      <c r="Y7" s="20">
        <v>115</v>
      </c>
      <c r="Z7" s="20">
        <v>62</v>
      </c>
      <c r="AB7" s="101"/>
      <c r="AC7" s="33"/>
      <c r="AD7" s="33"/>
      <c r="AE7" s="33"/>
      <c r="AF7" s="33"/>
      <c r="AG7" s="33"/>
      <c r="AH7" s="33"/>
      <c r="AI7" s="33"/>
      <c r="AJ7" s="33"/>
      <c r="AK7" s="33"/>
      <c r="AL7" s="33"/>
      <c r="AM7" s="33"/>
      <c r="AN7" s="33"/>
      <c r="AO7" s="33"/>
      <c r="AP7" s="33"/>
      <c r="AQ7" s="33"/>
      <c r="AS7" s="101"/>
      <c r="AT7" s="33"/>
      <c r="AU7" s="41" t="s">
        <v>470</v>
      </c>
      <c r="AV7" s="35"/>
      <c r="AW7" s="11">
        <f t="shared" si="0"/>
        <v>23.730776348210348</v>
      </c>
      <c r="AX7" s="11">
        <f t="shared" si="1"/>
        <v>0</v>
      </c>
      <c r="AY7" s="11">
        <f t="shared" si="2"/>
        <v>0</v>
      </c>
      <c r="AZ7" s="11">
        <f t="shared" si="3"/>
        <v>0</v>
      </c>
      <c r="BA7" s="11">
        <f t="shared" si="4"/>
        <v>0</v>
      </c>
      <c r="BB7" s="11">
        <f t="shared" si="5"/>
        <v>0</v>
      </c>
      <c r="BC7" s="11">
        <f t="shared" si="6"/>
        <v>0</v>
      </c>
      <c r="BD7" s="11">
        <f t="shared" si="7"/>
        <v>28.992637941575587</v>
      </c>
      <c r="BE7" s="11">
        <f t="shared" si="8"/>
        <v>0</v>
      </c>
      <c r="BF7" s="11">
        <f t="shared" si="9"/>
        <v>0</v>
      </c>
      <c r="BG7" s="11">
        <f t="shared" si="10"/>
        <v>0</v>
      </c>
      <c r="BH7" s="11">
        <f t="shared" si="11"/>
        <v>0</v>
      </c>
      <c r="BI7" s="11">
        <f t="shared" si="12"/>
        <v>0</v>
      </c>
      <c r="BJ7" s="56">
        <f t="shared" si="13"/>
        <v>0</v>
      </c>
      <c r="BK7" s="11">
        <f t="shared" si="14"/>
        <v>0</v>
      </c>
      <c r="BL7" s="34">
        <f t="shared" si="15"/>
        <v>0</v>
      </c>
      <c r="BM7" s="11">
        <f t="shared" si="16"/>
        <v>0</v>
      </c>
      <c r="BN7" s="11">
        <f t="shared" si="17"/>
        <v>0</v>
      </c>
      <c r="BO7" s="11">
        <f t="shared" si="18"/>
        <v>45.723719107124566</v>
      </c>
      <c r="BP7" s="11">
        <f t="shared" si="19"/>
        <v>1.5528666030894944</v>
      </c>
      <c r="BQ7" s="54"/>
      <c r="BR7" s="56">
        <f t="shared" si="20"/>
        <v>0</v>
      </c>
      <c r="BS7" s="56">
        <f t="shared" si="21"/>
        <v>0</v>
      </c>
      <c r="BT7" s="56">
        <f t="shared" si="22"/>
        <v>0</v>
      </c>
      <c r="BU7" s="56">
        <f t="shared" si="23"/>
        <v>0</v>
      </c>
      <c r="BV7" s="56">
        <f t="shared" si="24"/>
        <v>0</v>
      </c>
      <c r="BW7" s="56">
        <f t="shared" si="25"/>
        <v>0</v>
      </c>
      <c r="BX7" s="56">
        <f t="shared" si="26"/>
        <v>0</v>
      </c>
      <c r="BY7" s="56">
        <f t="shared" si="27"/>
        <v>0</v>
      </c>
      <c r="BZ7" s="56">
        <f t="shared" si="28"/>
        <v>0</v>
      </c>
      <c r="CA7" s="56">
        <f t="shared" si="29"/>
        <v>0</v>
      </c>
      <c r="CB7" s="56">
        <f t="shared" si="30"/>
        <v>0</v>
      </c>
      <c r="CC7" s="56">
        <f t="shared" si="31"/>
        <v>0</v>
      </c>
      <c r="CD7" s="56">
        <f t="shared" si="32"/>
        <v>0</v>
      </c>
      <c r="CE7" s="56">
        <f t="shared" si="33"/>
        <v>0</v>
      </c>
      <c r="CF7" s="56">
        <f t="shared" si="34"/>
        <v>0</v>
      </c>
      <c r="CG7" s="56">
        <f t="shared" si="35"/>
        <v>0</v>
      </c>
      <c r="CH7" s="54"/>
      <c r="CI7" s="11"/>
      <c r="CJ7" s="12">
        <f t="shared" si="73"/>
        <v>100</v>
      </c>
      <c r="CL7" s="60">
        <f t="shared" si="36"/>
        <v>45.037371748532209</v>
      </c>
      <c r="CM7" s="60">
        <f t="shared" si="37"/>
        <v>0</v>
      </c>
      <c r="CN7" s="60">
        <f t="shared" si="38"/>
        <v>0</v>
      </c>
      <c r="CO7" s="60">
        <f t="shared" si="39"/>
        <v>0</v>
      </c>
      <c r="CP7" s="60">
        <f t="shared" si="40"/>
        <v>0</v>
      </c>
      <c r="CQ7" s="60">
        <f t="shared" si="41"/>
        <v>0</v>
      </c>
      <c r="CR7" s="60">
        <f t="shared" si="42"/>
        <v>0</v>
      </c>
      <c r="CS7" s="60">
        <f t="shared" si="43"/>
        <v>0</v>
      </c>
      <c r="CT7" s="60">
        <f t="shared" si="44"/>
        <v>42.650553482837964</v>
      </c>
      <c r="CU7" s="60">
        <f t="shared" si="45"/>
        <v>0</v>
      </c>
      <c r="CV7" s="60">
        <f t="shared" si="46"/>
        <v>0</v>
      </c>
      <c r="CW7" s="60">
        <f t="shared" si="47"/>
        <v>0</v>
      </c>
      <c r="CX7" s="60">
        <f t="shared" si="48"/>
        <v>0</v>
      </c>
      <c r="CY7" s="60">
        <f t="shared" si="49"/>
        <v>0</v>
      </c>
      <c r="CZ7" s="60">
        <f t="shared" si="50"/>
        <v>0</v>
      </c>
      <c r="DA7" s="60">
        <f t="shared" si="51"/>
        <v>0</v>
      </c>
      <c r="DB7" s="60">
        <f t="shared" si="52"/>
        <v>0</v>
      </c>
      <c r="DC7" s="60">
        <f t="shared" si="53"/>
        <v>0</v>
      </c>
      <c r="DD7" s="60">
        <f t="shared" si="54"/>
        <v>12.312074768629822</v>
      </c>
      <c r="DE7" s="60">
        <f t="shared" si="55"/>
        <v>0</v>
      </c>
      <c r="DF7" s="54"/>
      <c r="DG7" s="21">
        <f t="shared" si="56"/>
        <v>0</v>
      </c>
      <c r="DH7" s="21">
        <f t="shared" si="57"/>
        <v>0</v>
      </c>
      <c r="DI7" s="21">
        <f t="shared" si="58"/>
        <v>0</v>
      </c>
      <c r="DJ7" s="21">
        <f t="shared" si="59"/>
        <v>0</v>
      </c>
      <c r="DK7" s="21">
        <f t="shared" si="60"/>
        <v>0</v>
      </c>
      <c r="DL7" s="21">
        <f t="shared" si="61"/>
        <v>0</v>
      </c>
      <c r="DM7" s="21">
        <f t="shared" si="62"/>
        <v>0</v>
      </c>
      <c r="DN7" s="21">
        <f t="shared" si="63"/>
        <v>0</v>
      </c>
      <c r="DO7" s="21">
        <f t="shared" si="64"/>
        <v>0</v>
      </c>
      <c r="DP7" s="21">
        <f t="shared" si="65"/>
        <v>0</v>
      </c>
      <c r="DQ7" s="21">
        <f t="shared" si="66"/>
        <v>0</v>
      </c>
      <c r="DR7" s="21">
        <f t="shared" si="67"/>
        <v>0</v>
      </c>
      <c r="DS7" s="21">
        <f t="shared" si="68"/>
        <v>0</v>
      </c>
      <c r="DT7" s="21">
        <f t="shared" si="69"/>
        <v>0</v>
      </c>
      <c r="DU7" s="21">
        <f t="shared" si="70"/>
        <v>0</v>
      </c>
      <c r="DV7" s="21">
        <f t="shared" si="71"/>
        <v>0</v>
      </c>
      <c r="DW7" s="16"/>
      <c r="DX7" s="60" t="e">
        <f t="shared" ca="1" si="72"/>
        <v>#NAME?</v>
      </c>
    </row>
    <row r="8" spans="1:128" s="18" customFormat="1" ht="16" customHeight="1">
      <c r="B8" s="17" t="s">
        <v>191</v>
      </c>
      <c r="H8" s="20"/>
      <c r="I8" s="20"/>
      <c r="J8" s="20">
        <v>2</v>
      </c>
      <c r="K8" s="20"/>
      <c r="L8" s="20"/>
      <c r="M8" s="20"/>
      <c r="N8" s="20"/>
      <c r="O8" s="20">
        <v>1</v>
      </c>
      <c r="P8" s="20"/>
      <c r="Q8" s="20"/>
      <c r="R8" s="20"/>
      <c r="S8" s="20"/>
      <c r="T8" s="33"/>
      <c r="U8" s="33"/>
      <c r="V8" s="33"/>
      <c r="W8" s="33"/>
      <c r="X8" s="33"/>
      <c r="Y8" s="20">
        <v>4</v>
      </c>
      <c r="Z8" s="20"/>
      <c r="AB8" s="101"/>
      <c r="AC8" s="33"/>
      <c r="AD8" s="33"/>
      <c r="AE8" s="33"/>
      <c r="AF8" s="33"/>
      <c r="AG8" s="33"/>
      <c r="AH8" s="33"/>
      <c r="AI8" s="33"/>
      <c r="AJ8" s="33"/>
      <c r="AK8" s="33"/>
      <c r="AL8" s="33"/>
      <c r="AM8" s="33"/>
      <c r="AN8" s="33"/>
      <c r="AO8" s="33"/>
      <c r="AP8" s="33"/>
      <c r="AQ8" s="33"/>
      <c r="AS8" s="101"/>
      <c r="AT8" s="33"/>
      <c r="AU8" s="41" t="s">
        <v>470</v>
      </c>
      <c r="AV8" s="35"/>
      <c r="AW8" s="11">
        <f t="shared" si="0"/>
        <v>0</v>
      </c>
      <c r="AX8" s="11">
        <f t="shared" si="1"/>
        <v>0</v>
      </c>
      <c r="AY8" s="11">
        <f t="shared" si="2"/>
        <v>37.931626000486226</v>
      </c>
      <c r="AZ8" s="11">
        <f t="shared" si="3"/>
        <v>0</v>
      </c>
      <c r="BA8" s="11">
        <f t="shared" si="4"/>
        <v>0</v>
      </c>
      <c r="BB8" s="11">
        <f t="shared" si="5"/>
        <v>0</v>
      </c>
      <c r="BC8" s="11">
        <f t="shared" si="6"/>
        <v>0</v>
      </c>
      <c r="BD8" s="11">
        <f t="shared" si="7"/>
        <v>17.084425205356478</v>
      </c>
      <c r="BE8" s="11">
        <f t="shared" si="8"/>
        <v>0</v>
      </c>
      <c r="BF8" s="11">
        <f t="shared" si="9"/>
        <v>0</v>
      </c>
      <c r="BG8" s="11">
        <f t="shared" si="10"/>
        <v>0</v>
      </c>
      <c r="BH8" s="11">
        <f t="shared" si="11"/>
        <v>0</v>
      </c>
      <c r="BI8" s="11">
        <f t="shared" si="12"/>
        <v>0</v>
      </c>
      <c r="BJ8" s="56">
        <f t="shared" si="13"/>
        <v>0</v>
      </c>
      <c r="BK8" s="11">
        <f t="shared" si="14"/>
        <v>0</v>
      </c>
      <c r="BL8" s="34">
        <f t="shared" si="15"/>
        <v>0</v>
      </c>
      <c r="BM8" s="11">
        <f t="shared" si="16"/>
        <v>0</v>
      </c>
      <c r="BN8" s="11">
        <f t="shared" si="17"/>
        <v>0</v>
      </c>
      <c r="BO8" s="11">
        <f t="shared" si="18"/>
        <v>44.9839487941573</v>
      </c>
      <c r="BP8" s="11">
        <f t="shared" si="19"/>
        <v>0</v>
      </c>
      <c r="BQ8" s="54"/>
      <c r="BR8" s="56">
        <f t="shared" si="20"/>
        <v>0</v>
      </c>
      <c r="BS8" s="56">
        <f t="shared" si="21"/>
        <v>0</v>
      </c>
      <c r="BT8" s="56">
        <f t="shared" si="22"/>
        <v>0</v>
      </c>
      <c r="BU8" s="56">
        <f t="shared" si="23"/>
        <v>0</v>
      </c>
      <c r="BV8" s="56">
        <f t="shared" si="24"/>
        <v>0</v>
      </c>
      <c r="BW8" s="56">
        <f t="shared" si="25"/>
        <v>0</v>
      </c>
      <c r="BX8" s="56">
        <f t="shared" si="26"/>
        <v>0</v>
      </c>
      <c r="BY8" s="56">
        <f t="shared" si="27"/>
        <v>0</v>
      </c>
      <c r="BZ8" s="56">
        <f t="shared" si="28"/>
        <v>0</v>
      </c>
      <c r="CA8" s="56">
        <f t="shared" si="29"/>
        <v>0</v>
      </c>
      <c r="CB8" s="56">
        <f t="shared" si="30"/>
        <v>0</v>
      </c>
      <c r="CC8" s="56">
        <f t="shared" si="31"/>
        <v>0</v>
      </c>
      <c r="CD8" s="56">
        <f t="shared" si="32"/>
        <v>0</v>
      </c>
      <c r="CE8" s="56">
        <f t="shared" si="33"/>
        <v>0</v>
      </c>
      <c r="CF8" s="56">
        <f t="shared" si="34"/>
        <v>0</v>
      </c>
      <c r="CG8" s="56">
        <f t="shared" si="35"/>
        <v>0</v>
      </c>
      <c r="CH8" s="54"/>
      <c r="CI8" s="11"/>
      <c r="CJ8" s="12">
        <f t="shared" si="73"/>
        <v>100</v>
      </c>
      <c r="CL8" s="60">
        <f t="shared" si="36"/>
        <v>0</v>
      </c>
      <c r="CM8" s="60">
        <f t="shared" si="37"/>
        <v>0</v>
      </c>
      <c r="CN8" s="60">
        <f t="shared" si="38"/>
        <v>71.669771201630766</v>
      </c>
      <c r="CO8" s="60">
        <f t="shared" si="39"/>
        <v>0</v>
      </c>
      <c r="CP8" s="60">
        <f t="shared" si="40"/>
        <v>0</v>
      </c>
      <c r="CQ8" s="60">
        <f t="shared" si="41"/>
        <v>0</v>
      </c>
      <c r="CR8" s="60">
        <f t="shared" si="42"/>
        <v>0</v>
      </c>
      <c r="CS8" s="60">
        <f t="shared" si="43"/>
        <v>0</v>
      </c>
      <c r="CT8" s="60">
        <f t="shared" si="44"/>
        <v>28.330228798369244</v>
      </c>
      <c r="CU8" s="60">
        <f t="shared" si="45"/>
        <v>0</v>
      </c>
      <c r="CV8" s="60">
        <f t="shared" si="46"/>
        <v>0</v>
      </c>
      <c r="CW8" s="60">
        <f t="shared" si="47"/>
        <v>0</v>
      </c>
      <c r="CX8" s="60">
        <f t="shared" si="48"/>
        <v>0</v>
      </c>
      <c r="CY8" s="60">
        <f t="shared" si="49"/>
        <v>0</v>
      </c>
      <c r="CZ8" s="60">
        <f t="shared" si="50"/>
        <v>0</v>
      </c>
      <c r="DA8" s="60">
        <f t="shared" si="51"/>
        <v>0</v>
      </c>
      <c r="DB8" s="60">
        <f t="shared" si="52"/>
        <v>0</v>
      </c>
      <c r="DC8" s="60">
        <f t="shared" si="53"/>
        <v>0</v>
      </c>
      <c r="DD8" s="60">
        <f t="shared" si="54"/>
        <v>0</v>
      </c>
      <c r="DE8" s="60">
        <f t="shared" si="55"/>
        <v>0</v>
      </c>
      <c r="DF8" s="54"/>
      <c r="DG8" s="21">
        <f t="shared" si="56"/>
        <v>0</v>
      </c>
      <c r="DH8" s="21">
        <f t="shared" si="57"/>
        <v>0</v>
      </c>
      <c r="DI8" s="21">
        <f t="shared" si="58"/>
        <v>0</v>
      </c>
      <c r="DJ8" s="21">
        <f t="shared" si="59"/>
        <v>0</v>
      </c>
      <c r="DK8" s="21">
        <f t="shared" si="60"/>
        <v>0</v>
      </c>
      <c r="DL8" s="21">
        <f t="shared" si="61"/>
        <v>0</v>
      </c>
      <c r="DM8" s="21">
        <f t="shared" si="62"/>
        <v>0</v>
      </c>
      <c r="DN8" s="21">
        <f t="shared" si="63"/>
        <v>0</v>
      </c>
      <c r="DO8" s="21">
        <f t="shared" si="64"/>
        <v>0</v>
      </c>
      <c r="DP8" s="21">
        <f t="shared" si="65"/>
        <v>0</v>
      </c>
      <c r="DQ8" s="21">
        <f t="shared" si="66"/>
        <v>0</v>
      </c>
      <c r="DR8" s="21">
        <f t="shared" si="67"/>
        <v>0</v>
      </c>
      <c r="DS8" s="21">
        <f t="shared" si="68"/>
        <v>0</v>
      </c>
      <c r="DT8" s="21">
        <f t="shared" si="69"/>
        <v>0</v>
      </c>
      <c r="DU8" s="21">
        <f t="shared" si="70"/>
        <v>0</v>
      </c>
      <c r="DV8" s="21">
        <f t="shared" si="71"/>
        <v>0</v>
      </c>
      <c r="DW8" s="16"/>
      <c r="DX8" s="60" t="e">
        <f t="shared" ca="1" si="72"/>
        <v>#NAME?</v>
      </c>
    </row>
    <row r="9" spans="1:128" s="19" customFormat="1" ht="16" customHeight="1">
      <c r="A9" s="18"/>
      <c r="B9" s="17" t="s">
        <v>322</v>
      </c>
      <c r="C9" s="16"/>
      <c r="D9" s="16"/>
      <c r="E9" s="16"/>
      <c r="F9" s="16"/>
      <c r="G9" s="16"/>
      <c r="H9" s="34">
        <v>1.9970000000000001</v>
      </c>
      <c r="I9" s="20"/>
      <c r="J9" s="34">
        <v>3.7999999999999999E-2</v>
      </c>
      <c r="K9" s="34">
        <v>7.0000000000000001E-3</v>
      </c>
      <c r="L9" s="34">
        <v>0.113</v>
      </c>
      <c r="M9" s="20"/>
      <c r="N9" s="34">
        <v>2E-3</v>
      </c>
      <c r="O9" s="34">
        <v>2.673</v>
      </c>
      <c r="P9" s="34">
        <v>3.0000000000000001E-3</v>
      </c>
      <c r="Q9" s="20"/>
      <c r="R9" s="20"/>
      <c r="S9" s="20"/>
      <c r="T9"/>
      <c r="U9"/>
      <c r="V9"/>
      <c r="W9"/>
      <c r="X9"/>
      <c r="Y9" s="20">
        <f>147/17</f>
        <v>8.6470588235294112</v>
      </c>
      <c r="Z9" s="20">
        <f>62/17</f>
        <v>3.6470588235294117</v>
      </c>
      <c r="AA9" s="16"/>
      <c r="AB9" s="55"/>
      <c r="AC9"/>
      <c r="AD9"/>
      <c r="AE9"/>
      <c r="AF9"/>
      <c r="AG9"/>
      <c r="AH9"/>
      <c r="AI9"/>
      <c r="AJ9"/>
      <c r="AK9"/>
      <c r="AL9"/>
      <c r="AM9"/>
      <c r="AN9"/>
      <c r="AO9"/>
      <c r="AP9"/>
      <c r="AQ9"/>
      <c r="AS9" s="55"/>
      <c r="AT9"/>
      <c r="AU9" s="41"/>
      <c r="AV9" s="16"/>
      <c r="AW9" s="11">
        <f t="shared" si="0"/>
        <v>20.691659571230353</v>
      </c>
      <c r="AX9" s="11">
        <f t="shared" si="1"/>
        <v>0</v>
      </c>
      <c r="AY9" s="11">
        <f t="shared" si="2"/>
        <v>0.37825564161062852</v>
      </c>
      <c r="AZ9" s="11">
        <f t="shared" si="3"/>
        <v>0.13427770506272224</v>
      </c>
      <c r="BA9" s="11">
        <f t="shared" si="4"/>
        <v>2.3280796709004075</v>
      </c>
      <c r="BB9" s="11">
        <f t="shared" si="5"/>
        <v>0</v>
      </c>
      <c r="BC9" s="11">
        <f t="shared" si="6"/>
        <v>4.053575704416764E-2</v>
      </c>
      <c r="BD9" s="11">
        <f t="shared" si="7"/>
        <v>23.967883438515354</v>
      </c>
      <c r="BE9" s="11">
        <f t="shared" si="8"/>
        <v>6.4959941124664425E-2</v>
      </c>
      <c r="BF9" s="11">
        <f t="shared" si="9"/>
        <v>0</v>
      </c>
      <c r="BG9" s="11">
        <f t="shared" si="10"/>
        <v>0</v>
      </c>
      <c r="BH9" s="11">
        <f t="shared" si="11"/>
        <v>0</v>
      </c>
      <c r="BI9" s="11">
        <f t="shared" si="12"/>
        <v>0</v>
      </c>
      <c r="BJ9" s="56">
        <f t="shared" si="13"/>
        <v>0</v>
      </c>
      <c r="BK9" s="11">
        <f t="shared" si="14"/>
        <v>0</v>
      </c>
      <c r="BL9" s="34">
        <f t="shared" si="15"/>
        <v>0</v>
      </c>
      <c r="BM9" s="11">
        <f t="shared" si="16"/>
        <v>0</v>
      </c>
      <c r="BN9" s="11">
        <f t="shared" si="17"/>
        <v>0</v>
      </c>
      <c r="BO9" s="11">
        <f t="shared" si="18"/>
        <v>51.038317771195231</v>
      </c>
      <c r="BP9" s="11">
        <f t="shared" si="19"/>
        <v>1.3560305033164604</v>
      </c>
      <c r="BQ9" s="54"/>
      <c r="BR9" s="56">
        <f t="shared" si="20"/>
        <v>0</v>
      </c>
      <c r="BS9" s="56">
        <f t="shared" si="21"/>
        <v>0</v>
      </c>
      <c r="BT9" s="56">
        <f t="shared" si="22"/>
        <v>0</v>
      </c>
      <c r="BU9" s="56">
        <f t="shared" si="23"/>
        <v>0</v>
      </c>
      <c r="BV9" s="56">
        <f t="shared" si="24"/>
        <v>0</v>
      </c>
      <c r="BW9" s="56">
        <f t="shared" si="25"/>
        <v>0</v>
      </c>
      <c r="BX9" s="56">
        <f t="shared" si="26"/>
        <v>0</v>
      </c>
      <c r="BY9" s="56">
        <f t="shared" si="27"/>
        <v>0</v>
      </c>
      <c r="BZ9" s="56">
        <f t="shared" si="28"/>
        <v>0</v>
      </c>
      <c r="CA9" s="56">
        <f t="shared" si="29"/>
        <v>0</v>
      </c>
      <c r="CB9" s="56">
        <f t="shared" si="30"/>
        <v>0</v>
      </c>
      <c r="CC9" s="56">
        <f t="shared" si="31"/>
        <v>0</v>
      </c>
      <c r="CD9" s="56">
        <f t="shared" si="32"/>
        <v>0</v>
      </c>
      <c r="CE9" s="56">
        <f t="shared" si="33"/>
        <v>0</v>
      </c>
      <c r="CF9" s="56">
        <f t="shared" si="34"/>
        <v>0</v>
      </c>
      <c r="CG9" s="56">
        <f t="shared" si="35"/>
        <v>0</v>
      </c>
      <c r="CH9" s="54"/>
      <c r="CI9" s="11"/>
      <c r="CJ9" s="12">
        <f t="shared" si="73"/>
        <v>99.999999999999986</v>
      </c>
      <c r="CK9" s="16"/>
      <c r="CL9" s="60">
        <f t="shared" ref="CL9:CL63" si="74">H9*60.084/(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44.190350442845627</v>
      </c>
      <c r="CM9" s="60">
        <f t="shared" ref="CM9:CM63" si="75">I9*79.866/(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CN9" s="60">
        <f t="shared" ref="CN9:CN63" si="76">J9/2*101.961/(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0.71347412994663972</v>
      </c>
      <c r="CO9" s="60">
        <f t="shared" ref="CO9:CO63" si="77">K9/2*151.99/(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0.19591766797163634</v>
      </c>
      <c r="CP9" s="60">
        <f t="shared" ref="CP9:CP63" si="78">M9/2*159.69/(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CQ9" s="60">
        <f t="shared" ref="CQ9:CQ63" si="79">L9*71.844/(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2.9899194683225945</v>
      </c>
      <c r="CR9" s="60">
        <f t="shared" ref="CR9:CR63" si="80">CP9*1/((159.69/71.844)/2)+CQ9</f>
        <v>2.9899194683225945</v>
      </c>
      <c r="CS9" s="60">
        <f t="shared" ref="CS9:CS63" si="81">N9*70.937/(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5.225084963448335E-2</v>
      </c>
      <c r="CT9" s="60">
        <f t="shared" ref="CT9:CT63" si="82">O9*40.304/(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39.676892632371988</v>
      </c>
      <c r="CU9" s="60">
        <f t="shared" ref="CU9:CU63" si="83">P9*74.693/(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8.2526172062854314E-2</v>
      </c>
      <c r="CV9" s="60">
        <f t="shared" ref="CV9:CV63" si="84">Q9*81.38/(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CW9" s="60">
        <f t="shared" ref="CW9:CW63" si="85">R9*56.077/(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CX9" s="60">
        <f t="shared" ref="CX9:CX63" si="86">S9/2*61.979/(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CY9" s="60">
        <f t="shared" ref="CY9:CY63" si="87">T9/2*94.196/(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CZ9" s="60">
        <f t="shared" ref="CZ9:CZ63" si="88">U9/2*141.94/(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A9" s="60">
        <f t="shared" ref="DA9:DA63" si="89">V9*80.06/(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B9" s="60">
        <f t="shared" ref="DB9:DB63" si="90">W9*37.9968/2/(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C9" s="60">
        <f t="shared" ref="DC9:DC63" si="91">X9*70.906/2/(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D9" s="60">
        <f t="shared" ref="DD9:DD63" si="92">Z9/2*18.015/(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12.098668636844184</v>
      </c>
      <c r="DE9" s="60">
        <f t="shared" ref="DE9:DE63" si="93">AA9*44.01/(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F9" s="54"/>
      <c r="DG9" s="21">
        <f t="shared" ref="DG9:DG63" si="94">AC9*74.9327/(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H9" s="21">
        <f t="shared" ref="DH9:DH63" si="95">AD9*79.545/(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I9" s="21">
        <f t="shared" ref="DI9:DI63" si="96">AE9*25.0117/(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J9" s="21">
        <f t="shared" ref="DJ9:DJ63" si="97">AF9*153.3395/(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K9" s="21">
        <f t="shared" ref="DK9:DK63" si="98">AG9*103.6195/(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L9" s="21">
        <f t="shared" ref="DL9:DL63" si="99">AH9*223.1895/(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M9" s="21">
        <f t="shared" ref="DM9:DM63" si="100">AI9*181.8815/2/(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N9" s="21">
        <f t="shared" ref="DN9:DN63" si="101">AJ9*150.689/(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O9" s="21">
        <f t="shared" ref="DO9:DO63" si="102">AK9*123.22/(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P9" s="21">
        <f t="shared" ref="DP9:DP63" si="103">AL9*225.8085/2/(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Q9" s="21">
        <f t="shared" ref="DQ9:DQ63" si="104">AM9*143.9385/(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R9" s="21">
        <f t="shared" ref="DR9:DR63" si="105">AN9*231.8485/(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S9" s="21">
        <f t="shared" ref="DS9:DS63" si="106">AO9*229.8407/2/(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T9" s="21">
        <f t="shared" ref="DT9:DT63" si="107">AP9*110.959/(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U9" s="21">
        <f t="shared" ref="DU9:DU63" si="108">AQ9*323.4975/2/(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V9" s="21">
        <f t="shared" ref="DV9:DV63" si="109">AR9*159.599/(H9*60.084+I9*79.866+J9/2*101.961+K9/2*151.99+L9*71.844+M9/2*159.69+N9*70.937+O9*40.304+P9*74.693+Q9*81.38+R9*56.077+S9/2*61.979+T9/2*94.196+U9/2*141.94+V9*80.06+W9*37.9968/2+X9*70.906/2+Z9/2*18.015+AA9*44.01+AC9*74.9327+AD9*79.545+AE9*25.0117+AF9*153.3395+AG9*103.6195+AH9*223.1895+AI9*181.8815/2+AJ9*150.689+AK9*123.22+AL9*225.8085/2+AM9*143.9385+AN9*231.8485+AO9*229.8407/2+AP9*110.959+AQ9*323.4975/2+AR9*159.599)*100</f>
        <v>0</v>
      </c>
      <c r="DW9" s="16"/>
      <c r="DX9" s="60" t="e">
        <f t="shared" ca="1" si="72"/>
        <v>#NAME?</v>
      </c>
    </row>
    <row r="10" spans="1:128" s="19" customFormat="1" ht="16" customHeight="1">
      <c r="A10" s="18"/>
      <c r="B10" s="17"/>
      <c r="C10" s="16"/>
      <c r="D10" s="16"/>
      <c r="E10" s="16"/>
      <c r="F10" s="16"/>
      <c r="G10" s="16"/>
      <c r="H10" s="34"/>
      <c r="I10" s="20"/>
      <c r="J10" s="34"/>
      <c r="K10" s="34"/>
      <c r="L10" s="34"/>
      <c r="M10" s="20"/>
      <c r="N10" s="34"/>
      <c r="O10" s="34"/>
      <c r="P10" s="34"/>
      <c r="Q10" s="20"/>
      <c r="R10" s="20"/>
      <c r="S10" s="20"/>
      <c r="T10"/>
      <c r="U10"/>
      <c r="V10"/>
      <c r="W10"/>
      <c r="X10"/>
      <c r="Y10" s="20"/>
      <c r="Z10" s="20"/>
      <c r="AA10" s="16"/>
      <c r="AB10" s="55"/>
      <c r="AC10"/>
      <c r="AD10"/>
      <c r="AE10"/>
      <c r="AF10"/>
      <c r="AG10"/>
      <c r="AH10"/>
      <c r="AI10"/>
      <c r="AJ10"/>
      <c r="AK10"/>
      <c r="AL10"/>
      <c r="AM10"/>
      <c r="AN10"/>
      <c r="AO10"/>
      <c r="AP10"/>
      <c r="AQ10"/>
      <c r="AS10" s="55"/>
      <c r="AT10"/>
      <c r="AU10" s="41"/>
      <c r="AV10" s="16"/>
      <c r="AW10" s="11"/>
      <c r="AX10" s="11"/>
      <c r="AY10" s="11"/>
      <c r="AZ10" s="11"/>
      <c r="BA10" s="11"/>
      <c r="BB10" s="11"/>
      <c r="BC10" s="11"/>
      <c r="BD10" s="11"/>
      <c r="BE10" s="11"/>
      <c r="BF10" s="11"/>
      <c r="BG10" s="11"/>
      <c r="BH10" s="11"/>
      <c r="BI10" s="11"/>
      <c r="BJ10" s="56"/>
      <c r="BK10" s="11"/>
      <c r="BL10" s="34"/>
      <c r="BM10" s="11"/>
      <c r="BN10" s="11"/>
      <c r="BO10" s="11"/>
      <c r="BP10" s="11"/>
      <c r="BQ10" s="54"/>
      <c r="BR10" s="56"/>
      <c r="BS10" s="56"/>
      <c r="BT10" s="56"/>
      <c r="BU10" s="56"/>
      <c r="BV10" s="56"/>
      <c r="BW10" s="56"/>
      <c r="BX10" s="56"/>
      <c r="BY10" s="56"/>
      <c r="BZ10" s="56"/>
      <c r="CA10" s="56"/>
      <c r="CB10" s="56"/>
      <c r="CC10" s="56"/>
      <c r="CD10" s="56"/>
      <c r="CE10" s="56"/>
      <c r="CF10" s="56"/>
      <c r="CG10" s="56"/>
      <c r="CH10" s="54"/>
      <c r="CI10" s="11"/>
      <c r="CJ10" s="12"/>
      <c r="CK10" s="16"/>
      <c r="CL10" s="60"/>
      <c r="CM10" s="60"/>
      <c r="CN10" s="60"/>
      <c r="CO10" s="60"/>
      <c r="CP10" s="60"/>
      <c r="CQ10" s="60"/>
      <c r="CR10" s="60"/>
      <c r="CS10" s="60"/>
      <c r="CT10" s="60"/>
      <c r="CU10" s="60"/>
      <c r="CV10" s="60"/>
      <c r="CW10" s="60"/>
      <c r="CX10" s="60"/>
      <c r="CY10" s="60"/>
      <c r="CZ10" s="60"/>
      <c r="DA10" s="60"/>
      <c r="DB10" s="60"/>
      <c r="DC10" s="60"/>
      <c r="DD10" s="60"/>
      <c r="DE10" s="60"/>
      <c r="DF10" s="54"/>
      <c r="DG10" s="21"/>
      <c r="DH10" s="21"/>
      <c r="DI10" s="21"/>
      <c r="DJ10" s="21"/>
      <c r="DK10" s="21"/>
      <c r="DL10" s="21"/>
      <c r="DM10" s="21"/>
      <c r="DN10" s="21"/>
      <c r="DO10" s="21"/>
      <c r="DP10" s="21"/>
      <c r="DQ10" s="21"/>
      <c r="DR10" s="21"/>
      <c r="DS10" s="21"/>
      <c r="DT10" s="21"/>
      <c r="DU10" s="21"/>
      <c r="DV10" s="21"/>
      <c r="DW10" s="16"/>
      <c r="DX10" s="60"/>
    </row>
    <row r="11" spans="1:128" ht="16" customHeight="1">
      <c r="B11" s="17" t="s">
        <v>25</v>
      </c>
      <c r="D11" s="18">
        <v>22</v>
      </c>
      <c r="H11" s="20">
        <f>2*D11</f>
        <v>44</v>
      </c>
      <c r="I11" s="20"/>
      <c r="J11" s="20"/>
      <c r="K11" s="20"/>
      <c r="L11" s="20"/>
      <c r="M11" s="20"/>
      <c r="N11" s="20"/>
      <c r="O11" s="20">
        <f>3*D11-3</f>
        <v>63</v>
      </c>
      <c r="P11" s="20"/>
      <c r="Q11" s="20"/>
      <c r="R11" s="20"/>
      <c r="S11" s="20"/>
      <c r="Y11" s="20">
        <f>9*D11-6</f>
        <v>192</v>
      </c>
      <c r="Z11" s="20">
        <f>4*D11-6</f>
        <v>82</v>
      </c>
      <c r="AU11" s="41" t="s">
        <v>470</v>
      </c>
      <c r="AV11" s="35"/>
      <c r="AW11" s="11">
        <f t="shared" si="0"/>
        <v>20.86932451164127</v>
      </c>
      <c r="AX11" s="11">
        <f t="shared" si="1"/>
        <v>0</v>
      </c>
      <c r="AY11" s="11">
        <f t="shared" si="2"/>
        <v>0</v>
      </c>
      <c r="AZ11" s="11">
        <f t="shared" si="3"/>
        <v>0</v>
      </c>
      <c r="BA11" s="11">
        <f t="shared" si="4"/>
        <v>0</v>
      </c>
      <c r="BB11" s="11">
        <f t="shared" si="5"/>
        <v>0</v>
      </c>
      <c r="BC11" s="11">
        <f t="shared" si="6"/>
        <v>0</v>
      </c>
      <c r="BD11" s="11">
        <f t="shared" si="7"/>
        <v>25.858881185934496</v>
      </c>
      <c r="BE11" s="11">
        <f t="shared" si="8"/>
        <v>0</v>
      </c>
      <c r="BF11" s="11">
        <f t="shared" si="9"/>
        <v>0</v>
      </c>
      <c r="BG11" s="11">
        <f t="shared" si="10"/>
        <v>0</v>
      </c>
      <c r="BH11" s="11">
        <f t="shared" si="11"/>
        <v>0</v>
      </c>
      <c r="BI11" s="11">
        <f t="shared" si="12"/>
        <v>0</v>
      </c>
      <c r="BJ11" s="56">
        <f t="shared" si="13"/>
        <v>0</v>
      </c>
      <c r="BK11" s="11">
        <f t="shared" si="14"/>
        <v>0</v>
      </c>
      <c r="BL11" s="34">
        <f t="shared" si="15"/>
        <v>0</v>
      </c>
      <c r="BM11" s="11">
        <f t="shared" si="16"/>
        <v>0</v>
      </c>
      <c r="BN11" s="11">
        <f t="shared" si="17"/>
        <v>0</v>
      </c>
      <c r="BO11" s="11">
        <f t="shared" si="18"/>
        <v>51.876136334873337</v>
      </c>
      <c r="BP11" s="11">
        <f t="shared" si="19"/>
        <v>1.3956579675508942</v>
      </c>
      <c r="BQ11" s="54"/>
      <c r="BR11" s="56">
        <f t="shared" si="20"/>
        <v>0</v>
      </c>
      <c r="BS11" s="56">
        <f t="shared" si="21"/>
        <v>0</v>
      </c>
      <c r="BT11" s="56">
        <f t="shared" si="22"/>
        <v>0</v>
      </c>
      <c r="BU11" s="56">
        <f t="shared" si="23"/>
        <v>0</v>
      </c>
      <c r="BV11" s="56">
        <f t="shared" si="24"/>
        <v>0</v>
      </c>
      <c r="BW11" s="56">
        <f t="shared" si="25"/>
        <v>0</v>
      </c>
      <c r="BX11" s="56">
        <f t="shared" si="26"/>
        <v>0</v>
      </c>
      <c r="BY11" s="56">
        <f t="shared" si="27"/>
        <v>0</v>
      </c>
      <c r="BZ11" s="56">
        <f t="shared" si="28"/>
        <v>0</v>
      </c>
      <c r="CA11" s="56">
        <f t="shared" si="29"/>
        <v>0</v>
      </c>
      <c r="CB11" s="56">
        <f t="shared" si="30"/>
        <v>0</v>
      </c>
      <c r="CC11" s="56">
        <f t="shared" si="31"/>
        <v>0</v>
      </c>
      <c r="CD11" s="56">
        <f t="shared" si="32"/>
        <v>0</v>
      </c>
      <c r="CE11" s="56">
        <f t="shared" si="33"/>
        <v>0</v>
      </c>
      <c r="CF11" s="56">
        <f t="shared" si="34"/>
        <v>0</v>
      </c>
      <c r="CG11" s="56">
        <f t="shared" si="35"/>
        <v>0</v>
      </c>
      <c r="CH11" s="54"/>
      <c r="CI11" s="11"/>
      <c r="CJ11" s="12">
        <f t="shared" si="73"/>
        <v>99.999999999999986</v>
      </c>
      <c r="CL11" s="60">
        <f t="shared" si="74"/>
        <v>44.645993734994207</v>
      </c>
      <c r="CM11" s="60">
        <f t="shared" si="75"/>
        <v>0</v>
      </c>
      <c r="CN11" s="60">
        <f t="shared" si="76"/>
        <v>0</v>
      </c>
      <c r="CO11" s="60">
        <f t="shared" si="77"/>
        <v>0</v>
      </c>
      <c r="CP11" s="60">
        <f t="shared" si="78"/>
        <v>0</v>
      </c>
      <c r="CQ11" s="60">
        <f t="shared" si="79"/>
        <v>0</v>
      </c>
      <c r="CR11" s="60">
        <f t="shared" si="80"/>
        <v>0</v>
      </c>
      <c r="CS11" s="60">
        <f t="shared" si="81"/>
        <v>0</v>
      </c>
      <c r="CT11" s="60">
        <f t="shared" si="82"/>
        <v>42.880484096582215</v>
      </c>
      <c r="CU11" s="60">
        <f t="shared" si="83"/>
        <v>0</v>
      </c>
      <c r="CV11" s="60">
        <f t="shared" si="84"/>
        <v>0</v>
      </c>
      <c r="CW11" s="60">
        <f t="shared" si="85"/>
        <v>0</v>
      </c>
      <c r="CX11" s="60">
        <f t="shared" si="86"/>
        <v>0</v>
      </c>
      <c r="CY11" s="60">
        <f t="shared" si="87"/>
        <v>0</v>
      </c>
      <c r="CZ11" s="60">
        <f t="shared" si="88"/>
        <v>0</v>
      </c>
      <c r="DA11" s="60">
        <f t="shared" si="89"/>
        <v>0</v>
      </c>
      <c r="DB11" s="60">
        <f t="shared" si="90"/>
        <v>0</v>
      </c>
      <c r="DC11" s="60">
        <f t="shared" si="91"/>
        <v>0</v>
      </c>
      <c r="DD11" s="60">
        <f t="shared" si="92"/>
        <v>12.473522168423582</v>
      </c>
      <c r="DE11" s="60">
        <f t="shared" si="93"/>
        <v>0</v>
      </c>
      <c r="DF11" s="54"/>
      <c r="DG11" s="21">
        <f t="shared" si="94"/>
        <v>0</v>
      </c>
      <c r="DH11" s="21">
        <f t="shared" si="95"/>
        <v>0</v>
      </c>
      <c r="DI11" s="21">
        <f t="shared" si="96"/>
        <v>0</v>
      </c>
      <c r="DJ11" s="21">
        <f t="shared" si="97"/>
        <v>0</v>
      </c>
      <c r="DK11" s="21">
        <f t="shared" si="98"/>
        <v>0</v>
      </c>
      <c r="DL11" s="21">
        <f t="shared" si="99"/>
        <v>0</v>
      </c>
      <c r="DM11" s="21">
        <f t="shared" si="100"/>
        <v>0</v>
      </c>
      <c r="DN11" s="21">
        <f t="shared" si="101"/>
        <v>0</v>
      </c>
      <c r="DO11" s="21">
        <f t="shared" si="102"/>
        <v>0</v>
      </c>
      <c r="DP11" s="21">
        <f t="shared" si="103"/>
        <v>0</v>
      </c>
      <c r="DQ11" s="21">
        <f t="shared" si="104"/>
        <v>0</v>
      </c>
      <c r="DR11" s="21">
        <f t="shared" si="105"/>
        <v>0</v>
      </c>
      <c r="DS11" s="21">
        <f t="shared" si="106"/>
        <v>0</v>
      </c>
      <c r="DT11" s="21">
        <f t="shared" si="107"/>
        <v>0</v>
      </c>
      <c r="DU11" s="21">
        <f t="shared" si="108"/>
        <v>0</v>
      </c>
      <c r="DV11" s="21">
        <f t="shared" si="109"/>
        <v>0</v>
      </c>
      <c r="DX11" s="60" t="e">
        <f t="shared" ca="1" si="72"/>
        <v>#NAME?</v>
      </c>
    </row>
    <row r="12" spans="1:128" ht="16" customHeight="1">
      <c r="B12" s="17" t="s">
        <v>25</v>
      </c>
      <c r="D12" s="18">
        <v>21</v>
      </c>
      <c r="H12" s="20">
        <f t="shared" ref="H12:H21" si="110">2*D12</f>
        <v>42</v>
      </c>
      <c r="I12" s="20"/>
      <c r="J12" s="20"/>
      <c r="K12" s="20"/>
      <c r="L12" s="20"/>
      <c r="M12" s="20"/>
      <c r="N12" s="20"/>
      <c r="O12" s="20">
        <f t="shared" ref="O12:O21" si="111">3*D12-3</f>
        <v>60</v>
      </c>
      <c r="P12" s="20"/>
      <c r="Q12" s="20"/>
      <c r="R12" s="20"/>
      <c r="S12" s="20"/>
      <c r="Y12" s="20">
        <f t="shared" ref="Y12:Y20" si="112">9*D12-6</f>
        <v>183</v>
      </c>
      <c r="Z12" s="20">
        <f t="shared" ref="Z12:Z21" si="113">4*D12-6</f>
        <v>78</v>
      </c>
      <c r="AU12" s="41" t="s">
        <v>470</v>
      </c>
      <c r="AV12" s="35"/>
      <c r="AW12" s="11">
        <f t="shared" si="0"/>
        <v>20.898728284609938</v>
      </c>
      <c r="AX12" s="11">
        <f t="shared" si="1"/>
        <v>0</v>
      </c>
      <c r="AY12" s="11">
        <f t="shared" si="2"/>
        <v>0</v>
      </c>
      <c r="AZ12" s="11">
        <f t="shared" si="3"/>
        <v>0</v>
      </c>
      <c r="BA12" s="11">
        <f t="shared" si="4"/>
        <v>0</v>
      </c>
      <c r="BB12" s="11">
        <f t="shared" si="5"/>
        <v>0</v>
      </c>
      <c r="BC12" s="11">
        <f t="shared" si="6"/>
        <v>0</v>
      </c>
      <c r="BD12" s="11">
        <f t="shared" si="7"/>
        <v>25.836595444901391</v>
      </c>
      <c r="BE12" s="11">
        <f t="shared" si="8"/>
        <v>0</v>
      </c>
      <c r="BF12" s="11">
        <f t="shared" si="9"/>
        <v>0</v>
      </c>
      <c r="BG12" s="11">
        <f t="shared" si="10"/>
        <v>0</v>
      </c>
      <c r="BH12" s="11">
        <f t="shared" si="11"/>
        <v>0</v>
      </c>
      <c r="BI12" s="11">
        <f t="shared" si="12"/>
        <v>0</v>
      </c>
      <c r="BJ12" s="56">
        <f t="shared" si="13"/>
        <v>0</v>
      </c>
      <c r="BK12" s="11">
        <f t="shared" si="14"/>
        <v>0</v>
      </c>
      <c r="BL12" s="34">
        <f t="shared" si="15"/>
        <v>0</v>
      </c>
      <c r="BM12" s="11">
        <f t="shared" si="16"/>
        <v>0</v>
      </c>
      <c r="BN12" s="11">
        <f t="shared" si="17"/>
        <v>0</v>
      </c>
      <c r="BO12" s="11">
        <f t="shared" si="18"/>
        <v>51.871921666121409</v>
      </c>
      <c r="BP12" s="11">
        <f t="shared" si="19"/>
        <v>1.3927546043672594</v>
      </c>
      <c r="BQ12" s="54"/>
      <c r="BR12" s="56">
        <f t="shared" si="20"/>
        <v>0</v>
      </c>
      <c r="BS12" s="56">
        <f t="shared" si="21"/>
        <v>0</v>
      </c>
      <c r="BT12" s="56">
        <f t="shared" si="22"/>
        <v>0</v>
      </c>
      <c r="BU12" s="56">
        <f t="shared" si="23"/>
        <v>0</v>
      </c>
      <c r="BV12" s="56">
        <f t="shared" si="24"/>
        <v>0</v>
      </c>
      <c r="BW12" s="56">
        <f t="shared" si="25"/>
        <v>0</v>
      </c>
      <c r="BX12" s="56">
        <f t="shared" si="26"/>
        <v>0</v>
      </c>
      <c r="BY12" s="56">
        <f t="shared" si="27"/>
        <v>0</v>
      </c>
      <c r="BZ12" s="56">
        <f t="shared" si="28"/>
        <v>0</v>
      </c>
      <c r="CA12" s="56">
        <f t="shared" si="29"/>
        <v>0</v>
      </c>
      <c r="CB12" s="56">
        <f t="shared" si="30"/>
        <v>0</v>
      </c>
      <c r="CC12" s="56">
        <f t="shared" si="31"/>
        <v>0</v>
      </c>
      <c r="CD12" s="56">
        <f t="shared" si="32"/>
        <v>0</v>
      </c>
      <c r="CE12" s="56">
        <f t="shared" si="33"/>
        <v>0</v>
      </c>
      <c r="CF12" s="56">
        <f t="shared" si="34"/>
        <v>0</v>
      </c>
      <c r="CG12" s="56">
        <f t="shared" si="35"/>
        <v>0</v>
      </c>
      <c r="CH12" s="54"/>
      <c r="CI12" s="11"/>
      <c r="CJ12" s="12">
        <f t="shared" si="73"/>
        <v>99.999999999999986</v>
      </c>
      <c r="CL12" s="60">
        <f t="shared" si="74"/>
        <v>44.70889754769059</v>
      </c>
      <c r="CM12" s="60">
        <f t="shared" si="75"/>
        <v>0</v>
      </c>
      <c r="CN12" s="60">
        <f t="shared" si="76"/>
        <v>0</v>
      </c>
      <c r="CO12" s="60">
        <f t="shared" si="77"/>
        <v>0</v>
      </c>
      <c r="CP12" s="60">
        <f t="shared" si="78"/>
        <v>0</v>
      </c>
      <c r="CQ12" s="60">
        <f t="shared" si="79"/>
        <v>0</v>
      </c>
      <c r="CR12" s="60">
        <f t="shared" si="80"/>
        <v>0</v>
      </c>
      <c r="CS12" s="60">
        <f t="shared" si="81"/>
        <v>0</v>
      </c>
      <c r="CT12" s="60">
        <f t="shared" si="82"/>
        <v>42.843528744570023</v>
      </c>
      <c r="CU12" s="60">
        <f t="shared" si="83"/>
        <v>0</v>
      </c>
      <c r="CV12" s="60">
        <f t="shared" si="84"/>
        <v>0</v>
      </c>
      <c r="CW12" s="60">
        <f t="shared" si="85"/>
        <v>0</v>
      </c>
      <c r="CX12" s="60">
        <f t="shared" si="86"/>
        <v>0</v>
      </c>
      <c r="CY12" s="60">
        <f t="shared" si="87"/>
        <v>0</v>
      </c>
      <c r="CZ12" s="60">
        <f t="shared" si="88"/>
        <v>0</v>
      </c>
      <c r="DA12" s="60">
        <f t="shared" si="89"/>
        <v>0</v>
      </c>
      <c r="DB12" s="60">
        <f t="shared" si="90"/>
        <v>0</v>
      </c>
      <c r="DC12" s="60">
        <f t="shared" si="91"/>
        <v>0</v>
      </c>
      <c r="DD12" s="60">
        <f t="shared" si="92"/>
        <v>12.4475737077394</v>
      </c>
      <c r="DE12" s="60">
        <f t="shared" si="93"/>
        <v>0</v>
      </c>
      <c r="DF12" s="54"/>
      <c r="DG12" s="21">
        <f t="shared" si="94"/>
        <v>0</v>
      </c>
      <c r="DH12" s="21">
        <f t="shared" si="95"/>
        <v>0</v>
      </c>
      <c r="DI12" s="21">
        <f t="shared" si="96"/>
        <v>0</v>
      </c>
      <c r="DJ12" s="21">
        <f t="shared" si="97"/>
        <v>0</v>
      </c>
      <c r="DK12" s="21">
        <f t="shared" si="98"/>
        <v>0</v>
      </c>
      <c r="DL12" s="21">
        <f t="shared" si="99"/>
        <v>0</v>
      </c>
      <c r="DM12" s="21">
        <f t="shared" si="100"/>
        <v>0</v>
      </c>
      <c r="DN12" s="21">
        <f t="shared" si="101"/>
        <v>0</v>
      </c>
      <c r="DO12" s="21">
        <f t="shared" si="102"/>
        <v>0</v>
      </c>
      <c r="DP12" s="21">
        <f t="shared" si="103"/>
        <v>0</v>
      </c>
      <c r="DQ12" s="21">
        <f t="shared" si="104"/>
        <v>0</v>
      </c>
      <c r="DR12" s="21">
        <f t="shared" si="105"/>
        <v>0</v>
      </c>
      <c r="DS12" s="21">
        <f t="shared" si="106"/>
        <v>0</v>
      </c>
      <c r="DT12" s="21">
        <f t="shared" si="107"/>
        <v>0</v>
      </c>
      <c r="DU12" s="21">
        <f t="shared" si="108"/>
        <v>0</v>
      </c>
      <c r="DV12" s="21">
        <f t="shared" si="109"/>
        <v>0</v>
      </c>
      <c r="DX12" s="60" t="e">
        <f t="shared" ca="1" si="72"/>
        <v>#NAME?</v>
      </c>
    </row>
    <row r="13" spans="1:128" ht="16" customHeight="1">
      <c r="B13" s="17" t="s">
        <v>25</v>
      </c>
      <c r="D13" s="18">
        <v>20</v>
      </c>
      <c r="H13" s="20">
        <f t="shared" si="110"/>
        <v>40</v>
      </c>
      <c r="I13" s="20"/>
      <c r="J13" s="20"/>
      <c r="K13" s="20"/>
      <c r="L13" s="20"/>
      <c r="M13" s="20"/>
      <c r="N13" s="20"/>
      <c r="O13" s="20">
        <f t="shared" si="111"/>
        <v>57</v>
      </c>
      <c r="P13" s="20"/>
      <c r="Q13" s="20"/>
      <c r="R13" s="20"/>
      <c r="S13" s="20"/>
      <c r="Y13" s="20">
        <f t="shared" si="112"/>
        <v>174</v>
      </c>
      <c r="Z13" s="20">
        <f t="shared" si="113"/>
        <v>74</v>
      </c>
      <c r="AU13" s="41" t="s">
        <v>470</v>
      </c>
      <c r="AV13" s="35"/>
      <c r="AW13" s="11">
        <f t="shared" si="0"/>
        <v>20.931168282933736</v>
      </c>
      <c r="AX13" s="11">
        <f t="shared" si="1"/>
        <v>0</v>
      </c>
      <c r="AY13" s="11">
        <f t="shared" si="2"/>
        <v>0</v>
      </c>
      <c r="AZ13" s="11">
        <f t="shared" si="3"/>
        <v>0</v>
      </c>
      <c r="BA13" s="11">
        <f t="shared" si="4"/>
        <v>0</v>
      </c>
      <c r="BB13" s="11">
        <f t="shared" si="5"/>
        <v>0</v>
      </c>
      <c r="BC13" s="11">
        <f t="shared" si="6"/>
        <v>0</v>
      </c>
      <c r="BD13" s="11">
        <f t="shared" si="7"/>
        <v>25.812008484495696</v>
      </c>
      <c r="BE13" s="11">
        <f t="shared" si="8"/>
        <v>0</v>
      </c>
      <c r="BF13" s="11">
        <f t="shared" si="9"/>
        <v>0</v>
      </c>
      <c r="BG13" s="11">
        <f t="shared" si="10"/>
        <v>0</v>
      </c>
      <c r="BH13" s="11">
        <f t="shared" si="11"/>
        <v>0</v>
      </c>
      <c r="BI13" s="11">
        <f t="shared" si="12"/>
        <v>0</v>
      </c>
      <c r="BJ13" s="56">
        <f t="shared" si="13"/>
        <v>0</v>
      </c>
      <c r="BK13" s="11">
        <f t="shared" si="14"/>
        <v>0</v>
      </c>
      <c r="BL13" s="34">
        <f t="shared" si="15"/>
        <v>0</v>
      </c>
      <c r="BM13" s="11">
        <f t="shared" si="16"/>
        <v>0</v>
      </c>
      <c r="BN13" s="11">
        <f t="shared" si="17"/>
        <v>0</v>
      </c>
      <c r="BO13" s="11">
        <f t="shared" si="18"/>
        <v>51.86727179185548</v>
      </c>
      <c r="BP13" s="11">
        <f t="shared" si="19"/>
        <v>1.3895514407150695</v>
      </c>
      <c r="BQ13" s="54"/>
      <c r="BR13" s="56">
        <f t="shared" si="20"/>
        <v>0</v>
      </c>
      <c r="BS13" s="56">
        <f t="shared" si="21"/>
        <v>0</v>
      </c>
      <c r="BT13" s="56">
        <f t="shared" si="22"/>
        <v>0</v>
      </c>
      <c r="BU13" s="56">
        <f t="shared" si="23"/>
        <v>0</v>
      </c>
      <c r="BV13" s="56">
        <f t="shared" si="24"/>
        <v>0</v>
      </c>
      <c r="BW13" s="56">
        <f t="shared" si="25"/>
        <v>0</v>
      </c>
      <c r="BX13" s="56">
        <f t="shared" si="26"/>
        <v>0</v>
      </c>
      <c r="BY13" s="56">
        <f t="shared" si="27"/>
        <v>0</v>
      </c>
      <c r="BZ13" s="56">
        <f t="shared" si="28"/>
        <v>0</v>
      </c>
      <c r="CA13" s="56">
        <f t="shared" si="29"/>
        <v>0</v>
      </c>
      <c r="CB13" s="56">
        <f t="shared" si="30"/>
        <v>0</v>
      </c>
      <c r="CC13" s="56">
        <f t="shared" si="31"/>
        <v>0</v>
      </c>
      <c r="CD13" s="56">
        <f t="shared" si="32"/>
        <v>0</v>
      </c>
      <c r="CE13" s="56">
        <f t="shared" si="33"/>
        <v>0</v>
      </c>
      <c r="CF13" s="56">
        <f t="shared" si="34"/>
        <v>0</v>
      </c>
      <c r="CG13" s="56">
        <f t="shared" si="35"/>
        <v>0</v>
      </c>
      <c r="CH13" s="54"/>
      <c r="CI13" s="11"/>
      <c r="CJ13" s="12">
        <f t="shared" si="73"/>
        <v>99.999999999999986</v>
      </c>
      <c r="CL13" s="60">
        <f t="shared" si="74"/>
        <v>44.778296790363321</v>
      </c>
      <c r="CM13" s="60">
        <f t="shared" si="75"/>
        <v>0</v>
      </c>
      <c r="CN13" s="60">
        <f t="shared" si="76"/>
        <v>0</v>
      </c>
      <c r="CO13" s="60">
        <f t="shared" si="77"/>
        <v>0</v>
      </c>
      <c r="CP13" s="60">
        <f t="shared" si="78"/>
        <v>0</v>
      </c>
      <c r="CQ13" s="60">
        <f t="shared" si="79"/>
        <v>0</v>
      </c>
      <c r="CR13" s="60">
        <f t="shared" si="80"/>
        <v>0</v>
      </c>
      <c r="CS13" s="60">
        <f t="shared" si="81"/>
        <v>0</v>
      </c>
      <c r="CT13" s="60">
        <f t="shared" si="82"/>
        <v>42.802757393320924</v>
      </c>
      <c r="CU13" s="60">
        <f t="shared" si="83"/>
        <v>0</v>
      </c>
      <c r="CV13" s="60">
        <f t="shared" si="84"/>
        <v>0</v>
      </c>
      <c r="CW13" s="60">
        <f t="shared" si="85"/>
        <v>0</v>
      </c>
      <c r="CX13" s="60">
        <f t="shared" si="86"/>
        <v>0</v>
      </c>
      <c r="CY13" s="60">
        <f t="shared" si="87"/>
        <v>0</v>
      </c>
      <c r="CZ13" s="60">
        <f t="shared" si="88"/>
        <v>0</v>
      </c>
      <c r="DA13" s="60">
        <f t="shared" si="89"/>
        <v>0</v>
      </c>
      <c r="DB13" s="60">
        <f t="shared" si="90"/>
        <v>0</v>
      </c>
      <c r="DC13" s="60">
        <f t="shared" si="91"/>
        <v>0</v>
      </c>
      <c r="DD13" s="60">
        <f t="shared" si="92"/>
        <v>12.418945816315752</v>
      </c>
      <c r="DE13" s="60">
        <f t="shared" si="93"/>
        <v>0</v>
      </c>
      <c r="DF13" s="54"/>
      <c r="DG13" s="21">
        <f t="shared" si="94"/>
        <v>0</v>
      </c>
      <c r="DH13" s="21">
        <f t="shared" si="95"/>
        <v>0</v>
      </c>
      <c r="DI13" s="21">
        <f t="shared" si="96"/>
        <v>0</v>
      </c>
      <c r="DJ13" s="21">
        <f t="shared" si="97"/>
        <v>0</v>
      </c>
      <c r="DK13" s="21">
        <f t="shared" si="98"/>
        <v>0</v>
      </c>
      <c r="DL13" s="21">
        <f t="shared" si="99"/>
        <v>0</v>
      </c>
      <c r="DM13" s="21">
        <f t="shared" si="100"/>
        <v>0</v>
      </c>
      <c r="DN13" s="21">
        <f t="shared" si="101"/>
        <v>0</v>
      </c>
      <c r="DO13" s="21">
        <f t="shared" si="102"/>
        <v>0</v>
      </c>
      <c r="DP13" s="21">
        <f t="shared" si="103"/>
        <v>0</v>
      </c>
      <c r="DQ13" s="21">
        <f t="shared" si="104"/>
        <v>0</v>
      </c>
      <c r="DR13" s="21">
        <f t="shared" si="105"/>
        <v>0</v>
      </c>
      <c r="DS13" s="21">
        <f t="shared" si="106"/>
        <v>0</v>
      </c>
      <c r="DT13" s="21">
        <f t="shared" si="107"/>
        <v>0</v>
      </c>
      <c r="DU13" s="21">
        <f t="shared" si="108"/>
        <v>0</v>
      </c>
      <c r="DV13" s="21">
        <f t="shared" si="109"/>
        <v>0</v>
      </c>
      <c r="DX13" s="60" t="e">
        <f t="shared" ca="1" si="72"/>
        <v>#NAME?</v>
      </c>
    </row>
    <row r="14" spans="1:128" ht="16" customHeight="1">
      <c r="B14" s="17" t="s">
        <v>25</v>
      </c>
      <c r="D14" s="18">
        <v>19</v>
      </c>
      <c r="H14" s="20">
        <f t="shared" si="110"/>
        <v>38</v>
      </c>
      <c r="I14" s="20"/>
      <c r="J14" s="20"/>
      <c r="K14" s="20"/>
      <c r="L14" s="20"/>
      <c r="M14" s="20"/>
      <c r="N14" s="20"/>
      <c r="O14" s="20">
        <f t="shared" si="111"/>
        <v>54</v>
      </c>
      <c r="P14" s="20"/>
      <c r="Q14" s="20"/>
      <c r="R14" s="20"/>
      <c r="S14" s="20"/>
      <c r="Y14" s="20">
        <f t="shared" si="112"/>
        <v>165</v>
      </c>
      <c r="Z14" s="20">
        <f t="shared" si="113"/>
        <v>70</v>
      </c>
      <c r="AU14" s="41" t="s">
        <v>470</v>
      </c>
      <c r="AV14" s="35"/>
      <c r="AW14" s="11">
        <f t="shared" si="0"/>
        <v>20.967140388598835</v>
      </c>
      <c r="AX14" s="11">
        <f t="shared" si="1"/>
        <v>0</v>
      </c>
      <c r="AY14" s="11">
        <f t="shared" si="2"/>
        <v>0</v>
      </c>
      <c r="AZ14" s="11">
        <f t="shared" si="3"/>
        <v>0</v>
      </c>
      <c r="BA14" s="11">
        <f t="shared" si="4"/>
        <v>0</v>
      </c>
      <c r="BB14" s="11">
        <f t="shared" si="5"/>
        <v>0</v>
      </c>
      <c r="BC14" s="11">
        <f t="shared" si="6"/>
        <v>0</v>
      </c>
      <c r="BD14" s="11">
        <f t="shared" si="7"/>
        <v>25.784744465278777</v>
      </c>
      <c r="BE14" s="11">
        <f t="shared" si="8"/>
        <v>0</v>
      </c>
      <c r="BF14" s="11">
        <f t="shared" si="9"/>
        <v>0</v>
      </c>
      <c r="BG14" s="11">
        <f t="shared" si="10"/>
        <v>0</v>
      </c>
      <c r="BH14" s="11">
        <f t="shared" si="11"/>
        <v>0</v>
      </c>
      <c r="BI14" s="11">
        <f t="shared" si="12"/>
        <v>0</v>
      </c>
      <c r="BJ14" s="56">
        <f t="shared" si="13"/>
        <v>0</v>
      </c>
      <c r="BK14" s="11">
        <f t="shared" si="14"/>
        <v>0</v>
      </c>
      <c r="BL14" s="34">
        <f t="shared" si="15"/>
        <v>0</v>
      </c>
      <c r="BM14" s="11">
        <f t="shared" si="16"/>
        <v>0</v>
      </c>
      <c r="BN14" s="11">
        <f t="shared" si="17"/>
        <v>0</v>
      </c>
      <c r="BO14" s="11">
        <f t="shared" si="18"/>
        <v>51.862115633499585</v>
      </c>
      <c r="BP14" s="11">
        <f t="shared" si="19"/>
        <v>1.38599951262281</v>
      </c>
      <c r="BQ14" s="54"/>
      <c r="BR14" s="56">
        <f t="shared" si="20"/>
        <v>0</v>
      </c>
      <c r="BS14" s="56">
        <f t="shared" si="21"/>
        <v>0</v>
      </c>
      <c r="BT14" s="56">
        <f t="shared" si="22"/>
        <v>0</v>
      </c>
      <c r="BU14" s="56">
        <f t="shared" si="23"/>
        <v>0</v>
      </c>
      <c r="BV14" s="56">
        <f t="shared" si="24"/>
        <v>0</v>
      </c>
      <c r="BW14" s="56">
        <f t="shared" si="25"/>
        <v>0</v>
      </c>
      <c r="BX14" s="56">
        <f t="shared" si="26"/>
        <v>0</v>
      </c>
      <c r="BY14" s="56">
        <f t="shared" si="27"/>
        <v>0</v>
      </c>
      <c r="BZ14" s="56">
        <f t="shared" si="28"/>
        <v>0</v>
      </c>
      <c r="CA14" s="56">
        <f t="shared" si="29"/>
        <v>0</v>
      </c>
      <c r="CB14" s="56">
        <f t="shared" si="30"/>
        <v>0</v>
      </c>
      <c r="CC14" s="56">
        <f t="shared" si="31"/>
        <v>0</v>
      </c>
      <c r="CD14" s="56">
        <f t="shared" si="32"/>
        <v>0</v>
      </c>
      <c r="CE14" s="56">
        <f t="shared" si="33"/>
        <v>0</v>
      </c>
      <c r="CF14" s="56">
        <f t="shared" si="34"/>
        <v>0</v>
      </c>
      <c r="CG14" s="56">
        <f t="shared" si="35"/>
        <v>0</v>
      </c>
      <c r="CH14" s="54"/>
      <c r="CI14" s="11"/>
      <c r="CJ14" s="12">
        <f t="shared" si="73"/>
        <v>100</v>
      </c>
      <c r="CL14" s="60">
        <f t="shared" si="74"/>
        <v>44.855252308731423</v>
      </c>
      <c r="CM14" s="60">
        <f t="shared" si="75"/>
        <v>0</v>
      </c>
      <c r="CN14" s="60">
        <f t="shared" si="76"/>
        <v>0</v>
      </c>
      <c r="CO14" s="60">
        <f t="shared" si="77"/>
        <v>0</v>
      </c>
      <c r="CP14" s="60">
        <f t="shared" si="78"/>
        <v>0</v>
      </c>
      <c r="CQ14" s="60">
        <f t="shared" si="79"/>
        <v>0</v>
      </c>
      <c r="CR14" s="60">
        <f t="shared" si="80"/>
        <v>0</v>
      </c>
      <c r="CS14" s="60">
        <f t="shared" si="81"/>
        <v>0</v>
      </c>
      <c r="CT14" s="60">
        <f t="shared" si="82"/>
        <v>42.757546806733735</v>
      </c>
      <c r="CU14" s="60">
        <f t="shared" si="83"/>
        <v>0</v>
      </c>
      <c r="CV14" s="60">
        <f t="shared" si="84"/>
        <v>0</v>
      </c>
      <c r="CW14" s="60">
        <f t="shared" si="85"/>
        <v>0</v>
      </c>
      <c r="CX14" s="60">
        <f t="shared" si="86"/>
        <v>0</v>
      </c>
      <c r="CY14" s="60">
        <f t="shared" si="87"/>
        <v>0</v>
      </c>
      <c r="CZ14" s="60">
        <f t="shared" si="88"/>
        <v>0</v>
      </c>
      <c r="DA14" s="60">
        <f t="shared" si="89"/>
        <v>0</v>
      </c>
      <c r="DB14" s="60">
        <f t="shared" si="90"/>
        <v>0</v>
      </c>
      <c r="DC14" s="60">
        <f t="shared" si="91"/>
        <v>0</v>
      </c>
      <c r="DD14" s="60">
        <f t="shared" si="92"/>
        <v>12.387200884534844</v>
      </c>
      <c r="DE14" s="60">
        <f t="shared" si="93"/>
        <v>0</v>
      </c>
      <c r="DF14" s="54"/>
      <c r="DG14" s="21">
        <f t="shared" si="94"/>
        <v>0</v>
      </c>
      <c r="DH14" s="21">
        <f t="shared" si="95"/>
        <v>0</v>
      </c>
      <c r="DI14" s="21">
        <f t="shared" si="96"/>
        <v>0</v>
      </c>
      <c r="DJ14" s="21">
        <f t="shared" si="97"/>
        <v>0</v>
      </c>
      <c r="DK14" s="21">
        <f t="shared" si="98"/>
        <v>0</v>
      </c>
      <c r="DL14" s="21">
        <f t="shared" si="99"/>
        <v>0</v>
      </c>
      <c r="DM14" s="21">
        <f t="shared" si="100"/>
        <v>0</v>
      </c>
      <c r="DN14" s="21">
        <f t="shared" si="101"/>
        <v>0</v>
      </c>
      <c r="DO14" s="21">
        <f t="shared" si="102"/>
        <v>0</v>
      </c>
      <c r="DP14" s="21">
        <f t="shared" si="103"/>
        <v>0</v>
      </c>
      <c r="DQ14" s="21">
        <f t="shared" si="104"/>
        <v>0</v>
      </c>
      <c r="DR14" s="21">
        <f t="shared" si="105"/>
        <v>0</v>
      </c>
      <c r="DS14" s="21">
        <f t="shared" si="106"/>
        <v>0</v>
      </c>
      <c r="DT14" s="21">
        <f t="shared" si="107"/>
        <v>0</v>
      </c>
      <c r="DU14" s="21">
        <f t="shared" si="108"/>
        <v>0</v>
      </c>
      <c r="DV14" s="21">
        <f t="shared" si="109"/>
        <v>0</v>
      </c>
      <c r="DX14" s="60" t="e">
        <f t="shared" ca="1" si="72"/>
        <v>#NAME?</v>
      </c>
    </row>
    <row r="15" spans="1:128" ht="16" customHeight="1">
      <c r="B15" s="17" t="s">
        <v>25</v>
      </c>
      <c r="D15" s="18">
        <v>18</v>
      </c>
      <c r="H15" s="20">
        <f t="shared" si="110"/>
        <v>36</v>
      </c>
      <c r="I15" s="20"/>
      <c r="J15" s="20"/>
      <c r="K15" s="20"/>
      <c r="L15" s="20"/>
      <c r="M15" s="20"/>
      <c r="N15" s="20"/>
      <c r="O15" s="20">
        <f t="shared" si="111"/>
        <v>51</v>
      </c>
      <c r="P15" s="20"/>
      <c r="Q15" s="20"/>
      <c r="R15" s="20"/>
      <c r="S15" s="20"/>
      <c r="Y15" s="20">
        <f t="shared" si="112"/>
        <v>156</v>
      </c>
      <c r="Z15" s="20">
        <f t="shared" si="113"/>
        <v>66</v>
      </c>
      <c r="AU15" s="41" t="s">
        <v>470</v>
      </c>
      <c r="AV15" s="35"/>
      <c r="AW15" s="11">
        <f t="shared" si="0"/>
        <v>21.007254685297333</v>
      </c>
      <c r="AX15" s="11">
        <f t="shared" si="1"/>
        <v>0</v>
      </c>
      <c r="AY15" s="11">
        <f t="shared" si="2"/>
        <v>0</v>
      </c>
      <c r="AZ15" s="11">
        <f t="shared" si="3"/>
        <v>0</v>
      </c>
      <c r="BA15" s="11">
        <f t="shared" si="4"/>
        <v>0</v>
      </c>
      <c r="BB15" s="11">
        <f t="shared" si="5"/>
        <v>0</v>
      </c>
      <c r="BC15" s="11">
        <f t="shared" si="6"/>
        <v>0</v>
      </c>
      <c r="BD15" s="11">
        <f t="shared" si="7"/>
        <v>25.754340991925186</v>
      </c>
      <c r="BE15" s="11">
        <f t="shared" si="8"/>
        <v>0</v>
      </c>
      <c r="BF15" s="11">
        <f t="shared" si="9"/>
        <v>0</v>
      </c>
      <c r="BG15" s="11">
        <f t="shared" si="10"/>
        <v>0</v>
      </c>
      <c r="BH15" s="11">
        <f t="shared" si="11"/>
        <v>0</v>
      </c>
      <c r="BI15" s="11">
        <f t="shared" si="12"/>
        <v>0</v>
      </c>
      <c r="BJ15" s="56">
        <f t="shared" si="13"/>
        <v>0</v>
      </c>
      <c r="BK15" s="11">
        <f t="shared" si="14"/>
        <v>0</v>
      </c>
      <c r="BL15" s="34">
        <f t="shared" si="15"/>
        <v>0</v>
      </c>
      <c r="BM15" s="11">
        <f t="shared" si="16"/>
        <v>0</v>
      </c>
      <c r="BN15" s="11">
        <f t="shared" si="17"/>
        <v>0</v>
      </c>
      <c r="BO15" s="11">
        <f t="shared" si="18"/>
        <v>51.85636574306951</v>
      </c>
      <c r="BP15" s="11">
        <f t="shared" si="19"/>
        <v>1.3820385797079793</v>
      </c>
      <c r="BQ15" s="54"/>
      <c r="BR15" s="56">
        <f t="shared" si="20"/>
        <v>0</v>
      </c>
      <c r="BS15" s="56">
        <f t="shared" si="21"/>
        <v>0</v>
      </c>
      <c r="BT15" s="56">
        <f t="shared" si="22"/>
        <v>0</v>
      </c>
      <c r="BU15" s="56">
        <f t="shared" si="23"/>
        <v>0</v>
      </c>
      <c r="BV15" s="56">
        <f t="shared" si="24"/>
        <v>0</v>
      </c>
      <c r="BW15" s="56">
        <f t="shared" si="25"/>
        <v>0</v>
      </c>
      <c r="BX15" s="56">
        <f t="shared" si="26"/>
        <v>0</v>
      </c>
      <c r="BY15" s="56">
        <f t="shared" si="27"/>
        <v>0</v>
      </c>
      <c r="BZ15" s="56">
        <f t="shared" si="28"/>
        <v>0</v>
      </c>
      <c r="CA15" s="56">
        <f t="shared" si="29"/>
        <v>0</v>
      </c>
      <c r="CB15" s="56">
        <f t="shared" si="30"/>
        <v>0</v>
      </c>
      <c r="CC15" s="56">
        <f t="shared" si="31"/>
        <v>0</v>
      </c>
      <c r="CD15" s="56">
        <f t="shared" si="32"/>
        <v>0</v>
      </c>
      <c r="CE15" s="56">
        <f t="shared" si="33"/>
        <v>0</v>
      </c>
      <c r="CF15" s="56">
        <f t="shared" si="34"/>
        <v>0</v>
      </c>
      <c r="CG15" s="56">
        <f t="shared" si="35"/>
        <v>0</v>
      </c>
      <c r="CH15" s="54"/>
      <c r="CI15" s="11"/>
      <c r="CJ15" s="12">
        <f t="shared" si="73"/>
        <v>100.00000000000001</v>
      </c>
      <c r="CL15" s="60">
        <f t="shared" si="74"/>
        <v>44.941069261460008</v>
      </c>
      <c r="CM15" s="60">
        <f t="shared" si="75"/>
        <v>0</v>
      </c>
      <c r="CN15" s="60">
        <f t="shared" si="76"/>
        <v>0</v>
      </c>
      <c r="CO15" s="60">
        <f t="shared" si="77"/>
        <v>0</v>
      </c>
      <c r="CP15" s="60">
        <f t="shared" si="78"/>
        <v>0</v>
      </c>
      <c r="CQ15" s="60">
        <f t="shared" si="79"/>
        <v>0</v>
      </c>
      <c r="CR15" s="60">
        <f t="shared" si="80"/>
        <v>0</v>
      </c>
      <c r="CS15" s="60">
        <f t="shared" si="81"/>
        <v>0</v>
      </c>
      <c r="CT15" s="60">
        <f t="shared" si="82"/>
        <v>42.707130217329102</v>
      </c>
      <c r="CU15" s="60">
        <f t="shared" si="83"/>
        <v>0</v>
      </c>
      <c r="CV15" s="60">
        <f t="shared" si="84"/>
        <v>0</v>
      </c>
      <c r="CW15" s="60">
        <f t="shared" si="85"/>
        <v>0</v>
      </c>
      <c r="CX15" s="60">
        <f t="shared" si="86"/>
        <v>0</v>
      </c>
      <c r="CY15" s="60">
        <f t="shared" si="87"/>
        <v>0</v>
      </c>
      <c r="CZ15" s="60">
        <f t="shared" si="88"/>
        <v>0</v>
      </c>
      <c r="DA15" s="60">
        <f t="shared" si="89"/>
        <v>0</v>
      </c>
      <c r="DB15" s="60">
        <f t="shared" si="90"/>
        <v>0</v>
      </c>
      <c r="DC15" s="60">
        <f t="shared" si="91"/>
        <v>0</v>
      </c>
      <c r="DD15" s="60">
        <f t="shared" si="92"/>
        <v>12.35180052121089</v>
      </c>
      <c r="DE15" s="60">
        <f t="shared" si="93"/>
        <v>0</v>
      </c>
      <c r="DF15" s="54"/>
      <c r="DG15" s="21">
        <f t="shared" si="94"/>
        <v>0</v>
      </c>
      <c r="DH15" s="21">
        <f t="shared" si="95"/>
        <v>0</v>
      </c>
      <c r="DI15" s="21">
        <f t="shared" si="96"/>
        <v>0</v>
      </c>
      <c r="DJ15" s="21">
        <f t="shared" si="97"/>
        <v>0</v>
      </c>
      <c r="DK15" s="21">
        <f t="shared" si="98"/>
        <v>0</v>
      </c>
      <c r="DL15" s="21">
        <f t="shared" si="99"/>
        <v>0</v>
      </c>
      <c r="DM15" s="21">
        <f t="shared" si="100"/>
        <v>0</v>
      </c>
      <c r="DN15" s="21">
        <f t="shared" si="101"/>
        <v>0</v>
      </c>
      <c r="DO15" s="21">
        <f t="shared" si="102"/>
        <v>0</v>
      </c>
      <c r="DP15" s="21">
        <f t="shared" si="103"/>
        <v>0</v>
      </c>
      <c r="DQ15" s="21">
        <f t="shared" si="104"/>
        <v>0</v>
      </c>
      <c r="DR15" s="21">
        <f t="shared" si="105"/>
        <v>0</v>
      </c>
      <c r="DS15" s="21">
        <f t="shared" si="106"/>
        <v>0</v>
      </c>
      <c r="DT15" s="21">
        <f t="shared" si="107"/>
        <v>0</v>
      </c>
      <c r="DU15" s="21">
        <f t="shared" si="108"/>
        <v>0</v>
      </c>
      <c r="DV15" s="21">
        <f t="shared" si="109"/>
        <v>0</v>
      </c>
      <c r="DX15" s="60" t="e">
        <f t="shared" ca="1" si="72"/>
        <v>#NAME?</v>
      </c>
    </row>
    <row r="16" spans="1:128" ht="16" customHeight="1">
      <c r="B16" s="17" t="s">
        <v>25</v>
      </c>
      <c r="D16" s="18">
        <v>17</v>
      </c>
      <c r="H16" s="20">
        <f t="shared" si="110"/>
        <v>34</v>
      </c>
      <c r="I16" s="20"/>
      <c r="J16" s="20"/>
      <c r="K16" s="20"/>
      <c r="L16" s="20"/>
      <c r="M16" s="20"/>
      <c r="N16" s="20"/>
      <c r="O16" s="20">
        <f t="shared" si="111"/>
        <v>48</v>
      </c>
      <c r="P16" s="20"/>
      <c r="Q16" s="20"/>
      <c r="R16" s="20"/>
      <c r="S16" s="20"/>
      <c r="Y16" s="20">
        <f t="shared" si="112"/>
        <v>147</v>
      </c>
      <c r="Z16" s="20">
        <f t="shared" si="113"/>
        <v>62</v>
      </c>
      <c r="AU16" s="41" t="s">
        <v>470</v>
      </c>
      <c r="AV16" s="35"/>
      <c r="AW16" s="11">
        <f t="shared" si="0"/>
        <v>21.052270342733124</v>
      </c>
      <c r="AX16" s="11">
        <f t="shared" si="1"/>
        <v>0</v>
      </c>
      <c r="AY16" s="11">
        <f t="shared" si="2"/>
        <v>0</v>
      </c>
      <c r="AZ16" s="11">
        <f t="shared" si="3"/>
        <v>0</v>
      </c>
      <c r="BA16" s="11">
        <f t="shared" si="4"/>
        <v>0</v>
      </c>
      <c r="BB16" s="11">
        <f t="shared" si="5"/>
        <v>0</v>
      </c>
      <c r="BC16" s="11">
        <f t="shared" si="6"/>
        <v>0</v>
      </c>
      <c r="BD16" s="11">
        <f t="shared" si="7"/>
        <v>25.720222673669969</v>
      </c>
      <c r="BE16" s="11">
        <f t="shared" si="8"/>
        <v>0</v>
      </c>
      <c r="BF16" s="11">
        <f t="shared" si="9"/>
        <v>0</v>
      </c>
      <c r="BG16" s="11">
        <f t="shared" si="10"/>
        <v>0</v>
      </c>
      <c r="BH16" s="11">
        <f t="shared" si="11"/>
        <v>0</v>
      </c>
      <c r="BI16" s="11">
        <f t="shared" si="12"/>
        <v>0</v>
      </c>
      <c r="BJ16" s="56">
        <f t="shared" si="13"/>
        <v>0</v>
      </c>
      <c r="BK16" s="11">
        <f t="shared" si="14"/>
        <v>0</v>
      </c>
      <c r="BL16" s="34">
        <f t="shared" si="15"/>
        <v>0</v>
      </c>
      <c r="BM16" s="11">
        <f t="shared" si="16"/>
        <v>0</v>
      </c>
      <c r="BN16" s="11">
        <f t="shared" si="17"/>
        <v>0</v>
      </c>
      <c r="BO16" s="11">
        <f t="shared" si="18"/>
        <v>51.849913302937281</v>
      </c>
      <c r="BP16" s="11">
        <f t="shared" si="19"/>
        <v>1.3775936806596345</v>
      </c>
      <c r="BQ16" s="54"/>
      <c r="BR16" s="56">
        <f t="shared" si="20"/>
        <v>0</v>
      </c>
      <c r="BS16" s="56">
        <f t="shared" si="21"/>
        <v>0</v>
      </c>
      <c r="BT16" s="56">
        <f t="shared" si="22"/>
        <v>0</v>
      </c>
      <c r="BU16" s="56">
        <f t="shared" si="23"/>
        <v>0</v>
      </c>
      <c r="BV16" s="56">
        <f t="shared" si="24"/>
        <v>0</v>
      </c>
      <c r="BW16" s="56">
        <f t="shared" si="25"/>
        <v>0</v>
      </c>
      <c r="BX16" s="56">
        <f t="shared" si="26"/>
        <v>0</v>
      </c>
      <c r="BY16" s="56">
        <f t="shared" si="27"/>
        <v>0</v>
      </c>
      <c r="BZ16" s="56">
        <f t="shared" si="28"/>
        <v>0</v>
      </c>
      <c r="CA16" s="56">
        <f t="shared" si="29"/>
        <v>0</v>
      </c>
      <c r="CB16" s="56">
        <f t="shared" si="30"/>
        <v>0</v>
      </c>
      <c r="CC16" s="56">
        <f t="shared" si="31"/>
        <v>0</v>
      </c>
      <c r="CD16" s="56">
        <f t="shared" si="32"/>
        <v>0</v>
      </c>
      <c r="CE16" s="56">
        <f t="shared" si="33"/>
        <v>0</v>
      </c>
      <c r="CF16" s="56">
        <f t="shared" si="34"/>
        <v>0</v>
      </c>
      <c r="CG16" s="56">
        <f t="shared" si="35"/>
        <v>0</v>
      </c>
      <c r="CH16" s="54"/>
      <c r="CI16" s="11"/>
      <c r="CJ16" s="12">
        <f t="shared" si="73"/>
        <v>100</v>
      </c>
      <c r="CL16" s="60">
        <f t="shared" si="74"/>
        <v>45.037371748532209</v>
      </c>
      <c r="CM16" s="60">
        <f t="shared" si="75"/>
        <v>0</v>
      </c>
      <c r="CN16" s="60">
        <f t="shared" si="76"/>
        <v>0</v>
      </c>
      <c r="CO16" s="60">
        <f t="shared" si="77"/>
        <v>0</v>
      </c>
      <c r="CP16" s="60">
        <f t="shared" si="78"/>
        <v>0</v>
      </c>
      <c r="CQ16" s="60">
        <f t="shared" si="79"/>
        <v>0</v>
      </c>
      <c r="CR16" s="60">
        <f t="shared" si="80"/>
        <v>0</v>
      </c>
      <c r="CS16" s="60">
        <f t="shared" si="81"/>
        <v>0</v>
      </c>
      <c r="CT16" s="60">
        <f t="shared" si="82"/>
        <v>42.650553482837964</v>
      </c>
      <c r="CU16" s="60">
        <f t="shared" si="83"/>
        <v>0</v>
      </c>
      <c r="CV16" s="60">
        <f t="shared" si="84"/>
        <v>0</v>
      </c>
      <c r="CW16" s="60">
        <f t="shared" si="85"/>
        <v>0</v>
      </c>
      <c r="CX16" s="60">
        <f t="shared" si="86"/>
        <v>0</v>
      </c>
      <c r="CY16" s="60">
        <f t="shared" si="87"/>
        <v>0</v>
      </c>
      <c r="CZ16" s="60">
        <f t="shared" si="88"/>
        <v>0</v>
      </c>
      <c r="DA16" s="60">
        <f t="shared" si="89"/>
        <v>0</v>
      </c>
      <c r="DB16" s="60">
        <f t="shared" si="90"/>
        <v>0</v>
      </c>
      <c r="DC16" s="60">
        <f t="shared" si="91"/>
        <v>0</v>
      </c>
      <c r="DD16" s="60">
        <f t="shared" si="92"/>
        <v>12.312074768629822</v>
      </c>
      <c r="DE16" s="60">
        <f t="shared" si="93"/>
        <v>0</v>
      </c>
      <c r="DF16" s="54"/>
      <c r="DG16" s="21">
        <f t="shared" si="94"/>
        <v>0</v>
      </c>
      <c r="DH16" s="21">
        <f t="shared" si="95"/>
        <v>0</v>
      </c>
      <c r="DI16" s="21">
        <f t="shared" si="96"/>
        <v>0</v>
      </c>
      <c r="DJ16" s="21">
        <f t="shared" si="97"/>
        <v>0</v>
      </c>
      <c r="DK16" s="21">
        <f t="shared" si="98"/>
        <v>0</v>
      </c>
      <c r="DL16" s="21">
        <f t="shared" si="99"/>
        <v>0</v>
      </c>
      <c r="DM16" s="21">
        <f t="shared" si="100"/>
        <v>0</v>
      </c>
      <c r="DN16" s="21">
        <f t="shared" si="101"/>
        <v>0</v>
      </c>
      <c r="DO16" s="21">
        <f t="shared" si="102"/>
        <v>0</v>
      </c>
      <c r="DP16" s="21">
        <f t="shared" si="103"/>
        <v>0</v>
      </c>
      <c r="DQ16" s="21">
        <f t="shared" si="104"/>
        <v>0</v>
      </c>
      <c r="DR16" s="21">
        <f t="shared" si="105"/>
        <v>0</v>
      </c>
      <c r="DS16" s="21">
        <f t="shared" si="106"/>
        <v>0</v>
      </c>
      <c r="DT16" s="21">
        <f t="shared" si="107"/>
        <v>0</v>
      </c>
      <c r="DU16" s="21">
        <f t="shared" si="108"/>
        <v>0</v>
      </c>
      <c r="DV16" s="21">
        <f t="shared" si="109"/>
        <v>0</v>
      </c>
      <c r="DX16" s="60" t="e">
        <f t="shared" ca="1" si="72"/>
        <v>#NAME?</v>
      </c>
    </row>
    <row r="17" spans="1:128" ht="16" customHeight="1">
      <c r="B17" s="17" t="s">
        <v>25</v>
      </c>
      <c r="D17" s="18">
        <v>16</v>
      </c>
      <c r="H17" s="20">
        <f t="shared" si="110"/>
        <v>32</v>
      </c>
      <c r="I17" s="20"/>
      <c r="J17" s="20"/>
      <c r="K17" s="20"/>
      <c r="L17" s="20"/>
      <c r="M17" s="20"/>
      <c r="N17" s="20"/>
      <c r="O17" s="20">
        <f t="shared" si="111"/>
        <v>45</v>
      </c>
      <c r="P17" s="20"/>
      <c r="Q17" s="20"/>
      <c r="R17" s="20"/>
      <c r="S17" s="20"/>
      <c r="Y17" s="20">
        <f t="shared" si="112"/>
        <v>138</v>
      </c>
      <c r="Z17" s="20">
        <f t="shared" si="113"/>
        <v>58</v>
      </c>
      <c r="AU17" s="41" t="s">
        <v>470</v>
      </c>
      <c r="AV17" s="35"/>
      <c r="AW17" s="11">
        <f t="shared" si="0"/>
        <v>21.103144119951864</v>
      </c>
      <c r="AX17" s="11">
        <f t="shared" si="1"/>
        <v>0</v>
      </c>
      <c r="AY17" s="11">
        <f t="shared" si="2"/>
        <v>0</v>
      </c>
      <c r="AZ17" s="11">
        <f t="shared" si="3"/>
        <v>0</v>
      </c>
      <c r="BA17" s="11">
        <f t="shared" si="4"/>
        <v>0</v>
      </c>
      <c r="BB17" s="11">
        <f t="shared" si="5"/>
        <v>0</v>
      </c>
      <c r="BC17" s="11">
        <f t="shared" si="6"/>
        <v>0</v>
      </c>
      <c r="BD17" s="11">
        <f t="shared" si="7"/>
        <v>25.681664362609652</v>
      </c>
      <c r="BE17" s="11">
        <f t="shared" si="8"/>
        <v>0</v>
      </c>
      <c r="BF17" s="11">
        <f t="shared" si="9"/>
        <v>0</v>
      </c>
      <c r="BG17" s="11">
        <f t="shared" si="10"/>
        <v>0</v>
      </c>
      <c r="BH17" s="11">
        <f t="shared" si="11"/>
        <v>0</v>
      </c>
      <c r="BI17" s="11">
        <f t="shared" si="12"/>
        <v>0</v>
      </c>
      <c r="BJ17" s="56">
        <f t="shared" si="13"/>
        <v>0</v>
      </c>
      <c r="BK17" s="11">
        <f t="shared" si="14"/>
        <v>0</v>
      </c>
      <c r="BL17" s="34">
        <f t="shared" si="15"/>
        <v>0</v>
      </c>
      <c r="BM17" s="11">
        <f t="shared" si="16"/>
        <v>0</v>
      </c>
      <c r="BN17" s="11">
        <f t="shared" si="17"/>
        <v>0</v>
      </c>
      <c r="BO17" s="11">
        <f t="shared" si="18"/>
        <v>51.84262117347604</v>
      </c>
      <c r="BP17" s="11">
        <f t="shared" si="19"/>
        <v>1.3725703439624455</v>
      </c>
      <c r="BQ17" s="54"/>
      <c r="BR17" s="56">
        <f t="shared" si="20"/>
        <v>0</v>
      </c>
      <c r="BS17" s="56">
        <f t="shared" si="21"/>
        <v>0</v>
      </c>
      <c r="BT17" s="56">
        <f t="shared" si="22"/>
        <v>0</v>
      </c>
      <c r="BU17" s="56">
        <f t="shared" si="23"/>
        <v>0</v>
      </c>
      <c r="BV17" s="56">
        <f t="shared" si="24"/>
        <v>0</v>
      </c>
      <c r="BW17" s="56">
        <f t="shared" si="25"/>
        <v>0</v>
      </c>
      <c r="BX17" s="56">
        <f t="shared" si="26"/>
        <v>0</v>
      </c>
      <c r="BY17" s="56">
        <f t="shared" si="27"/>
        <v>0</v>
      </c>
      <c r="BZ17" s="56">
        <f t="shared" si="28"/>
        <v>0</v>
      </c>
      <c r="CA17" s="56">
        <f t="shared" si="29"/>
        <v>0</v>
      </c>
      <c r="CB17" s="56">
        <f t="shared" si="30"/>
        <v>0</v>
      </c>
      <c r="CC17" s="56">
        <f t="shared" si="31"/>
        <v>0</v>
      </c>
      <c r="CD17" s="56">
        <f t="shared" si="32"/>
        <v>0</v>
      </c>
      <c r="CE17" s="56">
        <f t="shared" si="33"/>
        <v>0</v>
      </c>
      <c r="CF17" s="56">
        <f t="shared" si="34"/>
        <v>0</v>
      </c>
      <c r="CG17" s="56">
        <f t="shared" si="35"/>
        <v>0</v>
      </c>
      <c r="CH17" s="54"/>
      <c r="CI17" s="11"/>
      <c r="CJ17" s="12">
        <f t="shared" si="73"/>
        <v>100</v>
      </c>
      <c r="CL17" s="60">
        <f t="shared" si="74"/>
        <v>45.146206574946049</v>
      </c>
      <c r="CM17" s="60">
        <f t="shared" si="75"/>
        <v>0</v>
      </c>
      <c r="CN17" s="60">
        <f t="shared" si="76"/>
        <v>0</v>
      </c>
      <c r="CO17" s="60">
        <f t="shared" si="77"/>
        <v>0</v>
      </c>
      <c r="CP17" s="60">
        <f t="shared" si="78"/>
        <v>0</v>
      </c>
      <c r="CQ17" s="60">
        <f t="shared" si="79"/>
        <v>0</v>
      </c>
      <c r="CR17" s="60">
        <f t="shared" si="80"/>
        <v>0</v>
      </c>
      <c r="CS17" s="60">
        <f t="shared" si="81"/>
        <v>0</v>
      </c>
      <c r="CT17" s="60">
        <f t="shared" si="82"/>
        <v>42.586614126081898</v>
      </c>
      <c r="CU17" s="60">
        <f t="shared" si="83"/>
        <v>0</v>
      </c>
      <c r="CV17" s="60">
        <f t="shared" si="84"/>
        <v>0</v>
      </c>
      <c r="CW17" s="60">
        <f t="shared" si="85"/>
        <v>0</v>
      </c>
      <c r="CX17" s="60">
        <f t="shared" si="86"/>
        <v>0</v>
      </c>
      <c r="CY17" s="60">
        <f t="shared" si="87"/>
        <v>0</v>
      </c>
      <c r="CZ17" s="60">
        <f t="shared" si="88"/>
        <v>0</v>
      </c>
      <c r="DA17" s="60">
        <f t="shared" si="89"/>
        <v>0</v>
      </c>
      <c r="DB17" s="60">
        <f t="shared" si="90"/>
        <v>0</v>
      </c>
      <c r="DC17" s="60">
        <f t="shared" si="91"/>
        <v>0</v>
      </c>
      <c r="DD17" s="60">
        <f t="shared" si="92"/>
        <v>12.267179298972033</v>
      </c>
      <c r="DE17" s="60">
        <f t="shared" si="93"/>
        <v>0</v>
      </c>
      <c r="DF17" s="54"/>
      <c r="DG17" s="21">
        <f t="shared" si="94"/>
        <v>0</v>
      </c>
      <c r="DH17" s="21">
        <f t="shared" si="95"/>
        <v>0</v>
      </c>
      <c r="DI17" s="21">
        <f t="shared" si="96"/>
        <v>0</v>
      </c>
      <c r="DJ17" s="21">
        <f t="shared" si="97"/>
        <v>0</v>
      </c>
      <c r="DK17" s="21">
        <f t="shared" si="98"/>
        <v>0</v>
      </c>
      <c r="DL17" s="21">
        <f t="shared" si="99"/>
        <v>0</v>
      </c>
      <c r="DM17" s="21">
        <f t="shared" si="100"/>
        <v>0</v>
      </c>
      <c r="DN17" s="21">
        <f t="shared" si="101"/>
        <v>0</v>
      </c>
      <c r="DO17" s="21">
        <f t="shared" si="102"/>
        <v>0</v>
      </c>
      <c r="DP17" s="21">
        <f t="shared" si="103"/>
        <v>0</v>
      </c>
      <c r="DQ17" s="21">
        <f t="shared" si="104"/>
        <v>0</v>
      </c>
      <c r="DR17" s="21">
        <f t="shared" si="105"/>
        <v>0</v>
      </c>
      <c r="DS17" s="21">
        <f t="shared" si="106"/>
        <v>0</v>
      </c>
      <c r="DT17" s="21">
        <f t="shared" si="107"/>
        <v>0</v>
      </c>
      <c r="DU17" s="21">
        <f t="shared" si="108"/>
        <v>0</v>
      </c>
      <c r="DV17" s="21">
        <f t="shared" si="109"/>
        <v>0</v>
      </c>
      <c r="DX17" s="60" t="e">
        <f t="shared" ca="1" si="72"/>
        <v>#NAME?</v>
      </c>
    </row>
    <row r="18" spans="1:128" ht="16" customHeight="1">
      <c r="B18" s="17" t="s">
        <v>25</v>
      </c>
      <c r="D18" s="18">
        <v>15</v>
      </c>
      <c r="H18" s="20">
        <f t="shared" si="110"/>
        <v>30</v>
      </c>
      <c r="I18" s="20"/>
      <c r="J18" s="20"/>
      <c r="K18" s="20"/>
      <c r="L18" s="20"/>
      <c r="M18" s="20"/>
      <c r="N18" s="20"/>
      <c r="O18" s="20">
        <f t="shared" si="111"/>
        <v>42</v>
      </c>
      <c r="P18" s="20"/>
      <c r="Q18" s="20"/>
      <c r="R18" s="20"/>
      <c r="S18" s="20"/>
      <c r="Y18" s="20">
        <f t="shared" si="112"/>
        <v>129</v>
      </c>
      <c r="Z18" s="20">
        <f t="shared" si="113"/>
        <v>54</v>
      </c>
      <c r="AU18" s="41" t="s">
        <v>470</v>
      </c>
      <c r="AV18" s="35"/>
      <c r="AW18" s="11">
        <f t="shared" si="0"/>
        <v>21.161099122504737</v>
      </c>
      <c r="AX18" s="11">
        <f t="shared" si="1"/>
        <v>0</v>
      </c>
      <c r="AY18" s="11">
        <f t="shared" si="2"/>
        <v>0</v>
      </c>
      <c r="AZ18" s="11">
        <f t="shared" si="3"/>
        <v>0</v>
      </c>
      <c r="BA18" s="11">
        <f t="shared" si="4"/>
        <v>0</v>
      </c>
      <c r="BB18" s="11">
        <f t="shared" si="5"/>
        <v>0</v>
      </c>
      <c r="BC18" s="11">
        <f t="shared" si="6"/>
        <v>0</v>
      </c>
      <c r="BD18" s="11">
        <f t="shared" si="7"/>
        <v>25.637739041194521</v>
      </c>
      <c r="BE18" s="11">
        <f t="shared" si="8"/>
        <v>0</v>
      </c>
      <c r="BF18" s="11">
        <f t="shared" si="9"/>
        <v>0</v>
      </c>
      <c r="BG18" s="11">
        <f t="shared" si="10"/>
        <v>0</v>
      </c>
      <c r="BH18" s="11">
        <f t="shared" si="11"/>
        <v>0</v>
      </c>
      <c r="BI18" s="11">
        <f t="shared" si="12"/>
        <v>0</v>
      </c>
      <c r="BJ18" s="56">
        <f t="shared" si="13"/>
        <v>0</v>
      </c>
      <c r="BK18" s="11">
        <f t="shared" si="14"/>
        <v>0</v>
      </c>
      <c r="BL18" s="34">
        <f t="shared" si="15"/>
        <v>0</v>
      </c>
      <c r="BM18" s="11">
        <f t="shared" si="16"/>
        <v>0</v>
      </c>
      <c r="BN18" s="11">
        <f t="shared" si="17"/>
        <v>0</v>
      </c>
      <c r="BO18" s="11">
        <f t="shared" si="18"/>
        <v>51.834314037567403</v>
      </c>
      <c r="BP18" s="11">
        <f t="shared" si="19"/>
        <v>1.3668477987333434</v>
      </c>
      <c r="BQ18" s="54"/>
      <c r="BR18" s="56">
        <f t="shared" si="20"/>
        <v>0</v>
      </c>
      <c r="BS18" s="56">
        <f t="shared" si="21"/>
        <v>0</v>
      </c>
      <c r="BT18" s="56">
        <f t="shared" si="22"/>
        <v>0</v>
      </c>
      <c r="BU18" s="56">
        <f t="shared" si="23"/>
        <v>0</v>
      </c>
      <c r="BV18" s="56">
        <f t="shared" si="24"/>
        <v>0</v>
      </c>
      <c r="BW18" s="56">
        <f t="shared" si="25"/>
        <v>0</v>
      </c>
      <c r="BX18" s="56">
        <f t="shared" si="26"/>
        <v>0</v>
      </c>
      <c r="BY18" s="56">
        <f t="shared" si="27"/>
        <v>0</v>
      </c>
      <c r="BZ18" s="56">
        <f t="shared" si="28"/>
        <v>0</v>
      </c>
      <c r="CA18" s="56">
        <f t="shared" si="29"/>
        <v>0</v>
      </c>
      <c r="CB18" s="56">
        <f t="shared" si="30"/>
        <v>0</v>
      </c>
      <c r="CC18" s="56">
        <f t="shared" si="31"/>
        <v>0</v>
      </c>
      <c r="CD18" s="56">
        <f t="shared" si="32"/>
        <v>0</v>
      </c>
      <c r="CE18" s="56">
        <f t="shared" si="33"/>
        <v>0</v>
      </c>
      <c r="CF18" s="56">
        <f t="shared" si="34"/>
        <v>0</v>
      </c>
      <c r="CG18" s="56">
        <f t="shared" si="35"/>
        <v>0</v>
      </c>
      <c r="CH18" s="54"/>
      <c r="CI18" s="11"/>
      <c r="CJ18" s="12">
        <f t="shared" si="73"/>
        <v>100</v>
      </c>
      <c r="CL18" s="60">
        <f t="shared" si="74"/>
        <v>45.270190343655322</v>
      </c>
      <c r="CM18" s="60">
        <f t="shared" si="75"/>
        <v>0</v>
      </c>
      <c r="CN18" s="60">
        <f t="shared" si="76"/>
        <v>0</v>
      </c>
      <c r="CO18" s="60">
        <f t="shared" si="77"/>
        <v>0</v>
      </c>
      <c r="CP18" s="60">
        <f t="shared" si="78"/>
        <v>0</v>
      </c>
      <c r="CQ18" s="60">
        <f t="shared" si="79"/>
        <v>0</v>
      </c>
      <c r="CR18" s="60">
        <f t="shared" si="80"/>
        <v>0</v>
      </c>
      <c r="CS18" s="60">
        <f t="shared" si="81"/>
        <v>0</v>
      </c>
      <c r="CT18" s="60">
        <f t="shared" si="82"/>
        <v>42.513774919362191</v>
      </c>
      <c r="CU18" s="60">
        <f t="shared" si="83"/>
        <v>0</v>
      </c>
      <c r="CV18" s="60">
        <f t="shared" si="84"/>
        <v>0</v>
      </c>
      <c r="CW18" s="60">
        <f t="shared" si="85"/>
        <v>0</v>
      </c>
      <c r="CX18" s="60">
        <f t="shared" si="86"/>
        <v>0</v>
      </c>
      <c r="CY18" s="60">
        <f t="shared" si="87"/>
        <v>0</v>
      </c>
      <c r="CZ18" s="60">
        <f t="shared" si="88"/>
        <v>0</v>
      </c>
      <c r="DA18" s="60">
        <f t="shared" si="89"/>
        <v>0</v>
      </c>
      <c r="DB18" s="60">
        <f t="shared" si="90"/>
        <v>0</v>
      </c>
      <c r="DC18" s="60">
        <f t="shared" si="91"/>
        <v>0</v>
      </c>
      <c r="DD18" s="60">
        <f t="shared" si="92"/>
        <v>12.216034736982484</v>
      </c>
      <c r="DE18" s="60">
        <f t="shared" si="93"/>
        <v>0</v>
      </c>
      <c r="DF18" s="54"/>
      <c r="DG18" s="21">
        <f t="shared" si="94"/>
        <v>0</v>
      </c>
      <c r="DH18" s="21">
        <f t="shared" si="95"/>
        <v>0</v>
      </c>
      <c r="DI18" s="21">
        <f t="shared" si="96"/>
        <v>0</v>
      </c>
      <c r="DJ18" s="21">
        <f t="shared" si="97"/>
        <v>0</v>
      </c>
      <c r="DK18" s="21">
        <f t="shared" si="98"/>
        <v>0</v>
      </c>
      <c r="DL18" s="21">
        <f t="shared" si="99"/>
        <v>0</v>
      </c>
      <c r="DM18" s="21">
        <f t="shared" si="100"/>
        <v>0</v>
      </c>
      <c r="DN18" s="21">
        <f t="shared" si="101"/>
        <v>0</v>
      </c>
      <c r="DO18" s="21">
        <f t="shared" si="102"/>
        <v>0</v>
      </c>
      <c r="DP18" s="21">
        <f t="shared" si="103"/>
        <v>0</v>
      </c>
      <c r="DQ18" s="21">
        <f t="shared" si="104"/>
        <v>0</v>
      </c>
      <c r="DR18" s="21">
        <f t="shared" si="105"/>
        <v>0</v>
      </c>
      <c r="DS18" s="21">
        <f t="shared" si="106"/>
        <v>0</v>
      </c>
      <c r="DT18" s="21">
        <f t="shared" si="107"/>
        <v>0</v>
      </c>
      <c r="DU18" s="21">
        <f t="shared" si="108"/>
        <v>0</v>
      </c>
      <c r="DV18" s="21">
        <f t="shared" si="109"/>
        <v>0</v>
      </c>
      <c r="DX18" s="60" t="e">
        <f t="shared" ca="1" si="72"/>
        <v>#NAME?</v>
      </c>
    </row>
    <row r="19" spans="1:128" ht="16" customHeight="1">
      <c r="B19" s="17" t="s">
        <v>25</v>
      </c>
      <c r="D19" s="18">
        <v>14</v>
      </c>
      <c r="H19" s="20">
        <f t="shared" si="110"/>
        <v>28</v>
      </c>
      <c r="I19" s="20"/>
      <c r="J19" s="20"/>
      <c r="K19" s="20"/>
      <c r="L19" s="20"/>
      <c r="M19" s="20"/>
      <c r="N19" s="20"/>
      <c r="O19" s="20">
        <f t="shared" si="111"/>
        <v>39</v>
      </c>
      <c r="P19" s="20"/>
      <c r="Q19" s="20"/>
      <c r="R19" s="20"/>
      <c r="S19" s="20"/>
      <c r="Y19" s="20">
        <f t="shared" si="112"/>
        <v>120</v>
      </c>
      <c r="Z19" s="20">
        <f t="shared" si="113"/>
        <v>50</v>
      </c>
      <c r="AU19" s="41" t="s">
        <v>470</v>
      </c>
      <c r="AV19" s="35"/>
      <c r="AW19" s="11">
        <f t="shared" si="0"/>
        <v>21.227724418628821</v>
      </c>
      <c r="AX19" s="11">
        <f t="shared" si="1"/>
        <v>0</v>
      </c>
      <c r="AY19" s="11">
        <f t="shared" si="2"/>
        <v>0</v>
      </c>
      <c r="AZ19" s="11">
        <f t="shared" si="3"/>
        <v>0</v>
      </c>
      <c r="BA19" s="11">
        <f t="shared" si="4"/>
        <v>0</v>
      </c>
      <c r="BB19" s="11">
        <f t="shared" si="5"/>
        <v>0</v>
      </c>
      <c r="BC19" s="11">
        <f t="shared" si="6"/>
        <v>0</v>
      </c>
      <c r="BD19" s="11">
        <f t="shared" si="7"/>
        <v>25.587242321019957</v>
      </c>
      <c r="BE19" s="11">
        <f t="shared" si="8"/>
        <v>0</v>
      </c>
      <c r="BF19" s="11">
        <f t="shared" si="9"/>
        <v>0</v>
      </c>
      <c r="BG19" s="11">
        <f t="shared" si="10"/>
        <v>0</v>
      </c>
      <c r="BH19" s="11">
        <f t="shared" si="11"/>
        <v>0</v>
      </c>
      <c r="BI19" s="11">
        <f t="shared" si="12"/>
        <v>0</v>
      </c>
      <c r="BJ19" s="56">
        <f t="shared" si="13"/>
        <v>0</v>
      </c>
      <c r="BK19" s="11">
        <f t="shared" si="14"/>
        <v>0</v>
      </c>
      <c r="BL19" s="34">
        <f t="shared" si="15"/>
        <v>0</v>
      </c>
      <c r="BM19" s="11">
        <f t="shared" si="16"/>
        <v>0</v>
      </c>
      <c r="BN19" s="11">
        <f t="shared" si="17"/>
        <v>0</v>
      </c>
      <c r="BO19" s="11">
        <f t="shared" si="18"/>
        <v>51.824764121848723</v>
      </c>
      <c r="BP19" s="11">
        <f t="shared" si="19"/>
        <v>1.3602691385025112</v>
      </c>
      <c r="BQ19" s="54"/>
      <c r="BR19" s="56">
        <f t="shared" si="20"/>
        <v>0</v>
      </c>
      <c r="BS19" s="56">
        <f t="shared" si="21"/>
        <v>0</v>
      </c>
      <c r="BT19" s="56">
        <f t="shared" si="22"/>
        <v>0</v>
      </c>
      <c r="BU19" s="56">
        <f t="shared" si="23"/>
        <v>0</v>
      </c>
      <c r="BV19" s="56">
        <f t="shared" si="24"/>
        <v>0</v>
      </c>
      <c r="BW19" s="56">
        <f t="shared" si="25"/>
        <v>0</v>
      </c>
      <c r="BX19" s="56">
        <f t="shared" si="26"/>
        <v>0</v>
      </c>
      <c r="BY19" s="56">
        <f t="shared" si="27"/>
        <v>0</v>
      </c>
      <c r="BZ19" s="56">
        <f t="shared" si="28"/>
        <v>0</v>
      </c>
      <c r="CA19" s="56">
        <f t="shared" si="29"/>
        <v>0</v>
      </c>
      <c r="CB19" s="56">
        <f t="shared" si="30"/>
        <v>0</v>
      </c>
      <c r="CC19" s="56">
        <f t="shared" si="31"/>
        <v>0</v>
      </c>
      <c r="CD19" s="56">
        <f t="shared" si="32"/>
        <v>0</v>
      </c>
      <c r="CE19" s="56">
        <f t="shared" si="33"/>
        <v>0</v>
      </c>
      <c r="CF19" s="56">
        <f t="shared" si="34"/>
        <v>0</v>
      </c>
      <c r="CG19" s="56">
        <f t="shared" si="35"/>
        <v>0</v>
      </c>
      <c r="CH19" s="54"/>
      <c r="CI19" s="11"/>
      <c r="CJ19" s="12">
        <f t="shared" si="73"/>
        <v>100.00000000000001</v>
      </c>
      <c r="CL19" s="60">
        <f t="shared" si="74"/>
        <v>45.412722565535717</v>
      </c>
      <c r="CM19" s="60">
        <f t="shared" si="75"/>
        <v>0</v>
      </c>
      <c r="CN19" s="60">
        <f t="shared" si="76"/>
        <v>0</v>
      </c>
      <c r="CO19" s="60">
        <f t="shared" si="77"/>
        <v>0</v>
      </c>
      <c r="CP19" s="60">
        <f t="shared" si="78"/>
        <v>0</v>
      </c>
      <c r="CQ19" s="60">
        <f t="shared" si="79"/>
        <v>0</v>
      </c>
      <c r="CR19" s="60">
        <f t="shared" si="80"/>
        <v>0</v>
      </c>
      <c r="CS19" s="60">
        <f t="shared" si="81"/>
        <v>0</v>
      </c>
      <c r="CT19" s="60">
        <f t="shared" si="82"/>
        <v>42.430038684515907</v>
      </c>
      <c r="CU19" s="60">
        <f t="shared" si="83"/>
        <v>0</v>
      </c>
      <c r="CV19" s="60">
        <f t="shared" si="84"/>
        <v>0</v>
      </c>
      <c r="CW19" s="60">
        <f t="shared" si="85"/>
        <v>0</v>
      </c>
      <c r="CX19" s="60">
        <f t="shared" si="86"/>
        <v>0</v>
      </c>
      <c r="CY19" s="60">
        <f t="shared" si="87"/>
        <v>0</v>
      </c>
      <c r="CZ19" s="60">
        <f t="shared" si="88"/>
        <v>0</v>
      </c>
      <c r="DA19" s="60">
        <f t="shared" si="89"/>
        <v>0</v>
      </c>
      <c r="DB19" s="60">
        <f t="shared" si="90"/>
        <v>0</v>
      </c>
      <c r="DC19" s="60">
        <f t="shared" si="91"/>
        <v>0</v>
      </c>
      <c r="DD19" s="60">
        <f t="shared" si="92"/>
        <v>12.157238749948375</v>
      </c>
      <c r="DE19" s="60">
        <f t="shared" si="93"/>
        <v>0</v>
      </c>
      <c r="DF19" s="54"/>
      <c r="DG19" s="21">
        <f t="shared" si="94"/>
        <v>0</v>
      </c>
      <c r="DH19" s="21">
        <f t="shared" si="95"/>
        <v>0</v>
      </c>
      <c r="DI19" s="21">
        <f t="shared" si="96"/>
        <v>0</v>
      </c>
      <c r="DJ19" s="21">
        <f t="shared" si="97"/>
        <v>0</v>
      </c>
      <c r="DK19" s="21">
        <f t="shared" si="98"/>
        <v>0</v>
      </c>
      <c r="DL19" s="21">
        <f t="shared" si="99"/>
        <v>0</v>
      </c>
      <c r="DM19" s="21">
        <f t="shared" si="100"/>
        <v>0</v>
      </c>
      <c r="DN19" s="21">
        <f t="shared" si="101"/>
        <v>0</v>
      </c>
      <c r="DO19" s="21">
        <f t="shared" si="102"/>
        <v>0</v>
      </c>
      <c r="DP19" s="21">
        <f t="shared" si="103"/>
        <v>0</v>
      </c>
      <c r="DQ19" s="21">
        <f t="shared" si="104"/>
        <v>0</v>
      </c>
      <c r="DR19" s="21">
        <f t="shared" si="105"/>
        <v>0</v>
      </c>
      <c r="DS19" s="21">
        <f t="shared" si="106"/>
        <v>0</v>
      </c>
      <c r="DT19" s="21">
        <f t="shared" si="107"/>
        <v>0</v>
      </c>
      <c r="DU19" s="21">
        <f t="shared" si="108"/>
        <v>0</v>
      </c>
      <c r="DV19" s="21">
        <f t="shared" si="109"/>
        <v>0</v>
      </c>
      <c r="DX19" s="60" t="e">
        <f t="shared" ca="1" si="72"/>
        <v>#NAME?</v>
      </c>
    </row>
    <row r="20" spans="1:128" ht="16" customHeight="1">
      <c r="B20" s="17" t="s">
        <v>25</v>
      </c>
      <c r="D20" s="18">
        <v>13</v>
      </c>
      <c r="H20" s="20">
        <f t="shared" si="110"/>
        <v>26</v>
      </c>
      <c r="I20" s="20"/>
      <c r="J20" s="20"/>
      <c r="K20" s="20"/>
      <c r="L20" s="20"/>
      <c r="M20" s="20"/>
      <c r="N20" s="20"/>
      <c r="O20" s="20">
        <f t="shared" si="111"/>
        <v>36</v>
      </c>
      <c r="P20" s="20"/>
      <c r="Q20" s="20"/>
      <c r="R20" s="20"/>
      <c r="S20" s="20"/>
      <c r="Y20" s="20">
        <f t="shared" si="112"/>
        <v>111</v>
      </c>
      <c r="Z20" s="20">
        <f t="shared" si="113"/>
        <v>46</v>
      </c>
      <c r="AU20" s="41" t="s">
        <v>470</v>
      </c>
      <c r="AV20" s="35"/>
      <c r="AW20" s="11">
        <f t="shared" si="0"/>
        <v>21.305122979029694</v>
      </c>
      <c r="AX20" s="11">
        <f t="shared" si="1"/>
        <v>0</v>
      </c>
      <c r="AY20" s="11">
        <f t="shared" si="2"/>
        <v>0</v>
      </c>
      <c r="AZ20" s="11">
        <f t="shared" si="3"/>
        <v>0</v>
      </c>
      <c r="BA20" s="11">
        <f t="shared" si="4"/>
        <v>0</v>
      </c>
      <c r="BB20" s="11">
        <f t="shared" si="5"/>
        <v>0</v>
      </c>
      <c r="BC20" s="11">
        <f t="shared" si="6"/>
        <v>0</v>
      </c>
      <c r="BD20" s="11">
        <f t="shared" si="7"/>
        <v>25.528580316138228</v>
      </c>
      <c r="BE20" s="11">
        <f t="shared" si="8"/>
        <v>0</v>
      </c>
      <c r="BF20" s="11">
        <f t="shared" si="9"/>
        <v>0</v>
      </c>
      <c r="BG20" s="11">
        <f t="shared" si="10"/>
        <v>0</v>
      </c>
      <c r="BH20" s="11">
        <f t="shared" si="11"/>
        <v>0</v>
      </c>
      <c r="BI20" s="11">
        <f t="shared" si="12"/>
        <v>0</v>
      </c>
      <c r="BJ20" s="56">
        <f t="shared" si="13"/>
        <v>0</v>
      </c>
      <c r="BK20" s="11">
        <f t="shared" si="14"/>
        <v>0</v>
      </c>
      <c r="BL20" s="34">
        <f t="shared" si="15"/>
        <v>0</v>
      </c>
      <c r="BM20" s="11">
        <f t="shared" si="16"/>
        <v>0</v>
      </c>
      <c r="BN20" s="11">
        <f t="shared" si="17"/>
        <v>0</v>
      </c>
      <c r="BO20" s="11">
        <f t="shared" si="18"/>
        <v>51.813669991367121</v>
      </c>
      <c r="BP20" s="11">
        <f t="shared" si="19"/>
        <v>1.3526267134649599</v>
      </c>
      <c r="BQ20" s="54"/>
      <c r="BR20" s="56">
        <f t="shared" si="20"/>
        <v>0</v>
      </c>
      <c r="BS20" s="56">
        <f t="shared" si="21"/>
        <v>0</v>
      </c>
      <c r="BT20" s="56">
        <f t="shared" si="22"/>
        <v>0</v>
      </c>
      <c r="BU20" s="56">
        <f t="shared" si="23"/>
        <v>0</v>
      </c>
      <c r="BV20" s="56">
        <f t="shared" si="24"/>
        <v>0</v>
      </c>
      <c r="BW20" s="56">
        <f t="shared" si="25"/>
        <v>0</v>
      </c>
      <c r="BX20" s="56">
        <f t="shared" si="26"/>
        <v>0</v>
      </c>
      <c r="BY20" s="56">
        <f t="shared" si="27"/>
        <v>0</v>
      </c>
      <c r="BZ20" s="56">
        <f t="shared" si="28"/>
        <v>0</v>
      </c>
      <c r="CA20" s="56">
        <f t="shared" si="29"/>
        <v>0</v>
      </c>
      <c r="CB20" s="56">
        <f t="shared" si="30"/>
        <v>0</v>
      </c>
      <c r="CC20" s="56">
        <f t="shared" si="31"/>
        <v>0</v>
      </c>
      <c r="CD20" s="56">
        <f t="shared" si="32"/>
        <v>0</v>
      </c>
      <c r="CE20" s="56">
        <f t="shared" si="33"/>
        <v>0</v>
      </c>
      <c r="CF20" s="56">
        <f t="shared" si="34"/>
        <v>0</v>
      </c>
      <c r="CG20" s="56">
        <f t="shared" si="35"/>
        <v>0</v>
      </c>
      <c r="CH20" s="54"/>
      <c r="CI20" s="11"/>
      <c r="CJ20" s="12">
        <f t="shared" si="73"/>
        <v>100</v>
      </c>
      <c r="CL20" s="60">
        <f t="shared" si="74"/>
        <v>45.578302148550847</v>
      </c>
      <c r="CM20" s="60">
        <f t="shared" si="75"/>
        <v>0</v>
      </c>
      <c r="CN20" s="60">
        <f t="shared" si="76"/>
        <v>0</v>
      </c>
      <c r="CO20" s="60">
        <f t="shared" si="77"/>
        <v>0</v>
      </c>
      <c r="CP20" s="60">
        <f t="shared" si="78"/>
        <v>0</v>
      </c>
      <c r="CQ20" s="60">
        <f t="shared" si="79"/>
        <v>0</v>
      </c>
      <c r="CR20" s="60">
        <f t="shared" si="80"/>
        <v>0</v>
      </c>
      <c r="CS20" s="60">
        <f t="shared" si="81"/>
        <v>0</v>
      </c>
      <c r="CT20" s="60">
        <f t="shared" si="82"/>
        <v>42.33276235874068</v>
      </c>
      <c r="CU20" s="60">
        <f t="shared" si="83"/>
        <v>0</v>
      </c>
      <c r="CV20" s="60">
        <f t="shared" si="84"/>
        <v>0</v>
      </c>
      <c r="CW20" s="60">
        <f t="shared" si="85"/>
        <v>0</v>
      </c>
      <c r="CX20" s="60">
        <f t="shared" si="86"/>
        <v>0</v>
      </c>
      <c r="CY20" s="60">
        <f t="shared" si="87"/>
        <v>0</v>
      </c>
      <c r="CZ20" s="60">
        <f t="shared" si="88"/>
        <v>0</v>
      </c>
      <c r="DA20" s="60">
        <f t="shared" si="89"/>
        <v>0</v>
      </c>
      <c r="DB20" s="60">
        <f t="shared" si="90"/>
        <v>0</v>
      </c>
      <c r="DC20" s="60">
        <f t="shared" si="91"/>
        <v>0</v>
      </c>
      <c r="DD20" s="60">
        <f t="shared" si="92"/>
        <v>12.088935492708478</v>
      </c>
      <c r="DE20" s="60">
        <f t="shared" si="93"/>
        <v>0</v>
      </c>
      <c r="DF20" s="54"/>
      <c r="DG20" s="21">
        <f t="shared" si="94"/>
        <v>0</v>
      </c>
      <c r="DH20" s="21">
        <f t="shared" si="95"/>
        <v>0</v>
      </c>
      <c r="DI20" s="21">
        <f t="shared" si="96"/>
        <v>0</v>
      </c>
      <c r="DJ20" s="21">
        <f t="shared" si="97"/>
        <v>0</v>
      </c>
      <c r="DK20" s="21">
        <f t="shared" si="98"/>
        <v>0</v>
      </c>
      <c r="DL20" s="21">
        <f t="shared" si="99"/>
        <v>0</v>
      </c>
      <c r="DM20" s="21">
        <f t="shared" si="100"/>
        <v>0</v>
      </c>
      <c r="DN20" s="21">
        <f t="shared" si="101"/>
        <v>0</v>
      </c>
      <c r="DO20" s="21">
        <f t="shared" si="102"/>
        <v>0</v>
      </c>
      <c r="DP20" s="21">
        <f t="shared" si="103"/>
        <v>0</v>
      </c>
      <c r="DQ20" s="21">
        <f t="shared" si="104"/>
        <v>0</v>
      </c>
      <c r="DR20" s="21">
        <f t="shared" si="105"/>
        <v>0</v>
      </c>
      <c r="DS20" s="21">
        <f t="shared" si="106"/>
        <v>0</v>
      </c>
      <c r="DT20" s="21">
        <f t="shared" si="107"/>
        <v>0</v>
      </c>
      <c r="DU20" s="21">
        <f t="shared" si="108"/>
        <v>0</v>
      </c>
      <c r="DV20" s="21">
        <f t="shared" si="109"/>
        <v>0</v>
      </c>
      <c r="DX20" s="60" t="e">
        <f t="shared" ca="1" si="72"/>
        <v>#NAME?</v>
      </c>
    </row>
    <row r="21" spans="1:128" ht="16" customHeight="1">
      <c r="B21" s="17" t="s">
        <v>25</v>
      </c>
      <c r="D21" s="18">
        <v>12</v>
      </c>
      <c r="H21" s="20">
        <f t="shared" si="110"/>
        <v>24</v>
      </c>
      <c r="I21" s="20"/>
      <c r="J21" s="20"/>
      <c r="K21" s="20"/>
      <c r="L21" s="20"/>
      <c r="M21" s="20"/>
      <c r="N21" s="20"/>
      <c r="O21" s="20">
        <f t="shared" si="111"/>
        <v>33</v>
      </c>
      <c r="P21" s="20"/>
      <c r="Q21" s="20"/>
      <c r="R21" s="20"/>
      <c r="S21" s="20"/>
      <c r="Y21" s="20">
        <f>9*D21-6</f>
        <v>102</v>
      </c>
      <c r="Z21" s="20">
        <f t="shared" si="113"/>
        <v>42</v>
      </c>
      <c r="AU21" s="41" t="s">
        <v>470</v>
      </c>
      <c r="AV21" s="35"/>
      <c r="AW21" s="11">
        <f t="shared" si="0"/>
        <v>21.396137694512547</v>
      </c>
      <c r="AX21" s="11">
        <f t="shared" si="1"/>
        <v>0</v>
      </c>
      <c r="AY21" s="11">
        <f t="shared" si="2"/>
        <v>0</v>
      </c>
      <c r="AZ21" s="11">
        <f t="shared" si="3"/>
        <v>0</v>
      </c>
      <c r="BA21" s="11">
        <f t="shared" si="4"/>
        <v>0</v>
      </c>
      <c r="BB21" s="11">
        <f t="shared" si="5"/>
        <v>0</v>
      </c>
      <c r="BC21" s="11">
        <f t="shared" si="6"/>
        <v>0</v>
      </c>
      <c r="BD21" s="11">
        <f t="shared" si="7"/>
        <v>25.459598339518624</v>
      </c>
      <c r="BE21" s="11">
        <f t="shared" si="8"/>
        <v>0</v>
      </c>
      <c r="BF21" s="11">
        <f t="shared" si="9"/>
        <v>0</v>
      </c>
      <c r="BG21" s="11">
        <f t="shared" si="10"/>
        <v>0</v>
      </c>
      <c r="BH21" s="11">
        <f t="shared" si="11"/>
        <v>0</v>
      </c>
      <c r="BI21" s="11">
        <f t="shared" si="12"/>
        <v>0</v>
      </c>
      <c r="BJ21" s="56">
        <f t="shared" si="13"/>
        <v>0</v>
      </c>
      <c r="BK21" s="11">
        <f t="shared" si="14"/>
        <v>0</v>
      </c>
      <c r="BL21" s="34">
        <f t="shared" si="15"/>
        <v>0</v>
      </c>
      <c r="BM21" s="11">
        <f t="shared" si="16"/>
        <v>0</v>
      </c>
      <c r="BN21" s="11">
        <f t="shared" si="17"/>
        <v>0</v>
      </c>
      <c r="BO21" s="11">
        <f t="shared" si="18"/>
        <v>51.800624152735459</v>
      </c>
      <c r="BP21" s="11">
        <f t="shared" si="19"/>
        <v>1.3436398132333651</v>
      </c>
      <c r="BQ21" s="54"/>
      <c r="BR21" s="56">
        <f t="shared" si="20"/>
        <v>0</v>
      </c>
      <c r="BS21" s="56">
        <f t="shared" si="21"/>
        <v>0</v>
      </c>
      <c r="BT21" s="56">
        <f t="shared" si="22"/>
        <v>0</v>
      </c>
      <c r="BU21" s="56">
        <f t="shared" si="23"/>
        <v>0</v>
      </c>
      <c r="BV21" s="56">
        <f t="shared" si="24"/>
        <v>0</v>
      </c>
      <c r="BW21" s="56">
        <f t="shared" si="25"/>
        <v>0</v>
      </c>
      <c r="BX21" s="56">
        <f t="shared" si="26"/>
        <v>0</v>
      </c>
      <c r="BY21" s="56">
        <f t="shared" si="27"/>
        <v>0</v>
      </c>
      <c r="BZ21" s="56">
        <f t="shared" si="28"/>
        <v>0</v>
      </c>
      <c r="CA21" s="56">
        <f t="shared" si="29"/>
        <v>0</v>
      </c>
      <c r="CB21" s="56">
        <f t="shared" si="30"/>
        <v>0</v>
      </c>
      <c r="CC21" s="56">
        <f t="shared" si="31"/>
        <v>0</v>
      </c>
      <c r="CD21" s="56">
        <f t="shared" si="32"/>
        <v>0</v>
      </c>
      <c r="CE21" s="56">
        <f t="shared" si="33"/>
        <v>0</v>
      </c>
      <c r="CF21" s="56">
        <f t="shared" si="34"/>
        <v>0</v>
      </c>
      <c r="CG21" s="56">
        <f t="shared" si="35"/>
        <v>0</v>
      </c>
      <c r="CH21" s="54"/>
      <c r="CI21" s="11"/>
      <c r="CJ21" s="12">
        <f t="shared" si="73"/>
        <v>99.999999999999986</v>
      </c>
      <c r="CL21" s="60">
        <f t="shared" si="74"/>
        <v>45.773010919694016</v>
      </c>
      <c r="CM21" s="60">
        <f t="shared" si="75"/>
        <v>0</v>
      </c>
      <c r="CN21" s="60">
        <f t="shared" si="76"/>
        <v>0</v>
      </c>
      <c r="CO21" s="60">
        <f t="shared" si="77"/>
        <v>0</v>
      </c>
      <c r="CP21" s="60">
        <f t="shared" si="78"/>
        <v>0</v>
      </c>
      <c r="CQ21" s="60">
        <f t="shared" si="79"/>
        <v>0</v>
      </c>
      <c r="CR21" s="60">
        <f t="shared" si="80"/>
        <v>0</v>
      </c>
      <c r="CS21" s="60">
        <f t="shared" si="81"/>
        <v>0</v>
      </c>
      <c r="CT21" s="60">
        <f t="shared" si="82"/>
        <v>42.218372930357553</v>
      </c>
      <c r="CU21" s="60">
        <f t="shared" si="83"/>
        <v>0</v>
      </c>
      <c r="CV21" s="60">
        <f t="shared" si="84"/>
        <v>0</v>
      </c>
      <c r="CW21" s="60">
        <f t="shared" si="85"/>
        <v>0</v>
      </c>
      <c r="CX21" s="60">
        <f t="shared" si="86"/>
        <v>0</v>
      </c>
      <c r="CY21" s="60">
        <f t="shared" si="87"/>
        <v>0</v>
      </c>
      <c r="CZ21" s="60">
        <f t="shared" si="88"/>
        <v>0</v>
      </c>
      <c r="DA21" s="60">
        <f t="shared" si="89"/>
        <v>0</v>
      </c>
      <c r="DB21" s="60">
        <f t="shared" si="90"/>
        <v>0</v>
      </c>
      <c r="DC21" s="60">
        <f t="shared" si="91"/>
        <v>0</v>
      </c>
      <c r="DD21" s="60">
        <f t="shared" si="92"/>
        <v>12.008616149948434</v>
      </c>
      <c r="DE21" s="60">
        <f t="shared" si="93"/>
        <v>0</v>
      </c>
      <c r="DF21" s="54"/>
      <c r="DG21" s="21">
        <f t="shared" si="94"/>
        <v>0</v>
      </c>
      <c r="DH21" s="21">
        <f t="shared" si="95"/>
        <v>0</v>
      </c>
      <c r="DI21" s="21">
        <f t="shared" si="96"/>
        <v>0</v>
      </c>
      <c r="DJ21" s="21">
        <f t="shared" si="97"/>
        <v>0</v>
      </c>
      <c r="DK21" s="21">
        <f t="shared" si="98"/>
        <v>0</v>
      </c>
      <c r="DL21" s="21">
        <f t="shared" si="99"/>
        <v>0</v>
      </c>
      <c r="DM21" s="21">
        <f t="shared" si="100"/>
        <v>0</v>
      </c>
      <c r="DN21" s="21">
        <f t="shared" si="101"/>
        <v>0</v>
      </c>
      <c r="DO21" s="21">
        <f t="shared" si="102"/>
        <v>0</v>
      </c>
      <c r="DP21" s="21">
        <f t="shared" si="103"/>
        <v>0</v>
      </c>
      <c r="DQ21" s="21">
        <f t="shared" si="104"/>
        <v>0</v>
      </c>
      <c r="DR21" s="21">
        <f t="shared" si="105"/>
        <v>0</v>
      </c>
      <c r="DS21" s="21">
        <f t="shared" si="106"/>
        <v>0</v>
      </c>
      <c r="DT21" s="21">
        <f t="shared" si="107"/>
        <v>0</v>
      </c>
      <c r="DU21" s="21">
        <f t="shared" si="108"/>
        <v>0</v>
      </c>
      <c r="DV21" s="21">
        <f t="shared" si="109"/>
        <v>0</v>
      </c>
      <c r="DX21" s="60" t="e">
        <f t="shared" ca="1" si="72"/>
        <v>#NAME?</v>
      </c>
    </row>
    <row r="22" spans="1:128" ht="16" customHeight="1">
      <c r="H22" s="20"/>
      <c r="I22" s="20"/>
      <c r="J22" s="20"/>
      <c r="K22" s="20"/>
      <c r="L22" s="20"/>
      <c r="M22" s="20"/>
      <c r="N22" s="20"/>
      <c r="O22" s="20"/>
      <c r="P22" s="20"/>
      <c r="Q22" s="20"/>
      <c r="R22" s="20"/>
      <c r="S22" s="20"/>
      <c r="AU22" s="41"/>
      <c r="AW22" s="11"/>
      <c r="AX22" s="11"/>
      <c r="AY22" s="11"/>
      <c r="AZ22" s="11"/>
      <c r="BA22" s="11"/>
      <c r="BB22" s="11"/>
      <c r="BC22" s="11"/>
      <c r="BD22" s="11"/>
      <c r="BE22" s="11"/>
      <c r="BF22" s="11"/>
      <c r="BG22" s="11"/>
      <c r="BH22" s="11"/>
      <c r="BI22" s="11"/>
      <c r="BJ22" s="56"/>
      <c r="BK22" s="11"/>
      <c r="BL22" s="34"/>
      <c r="BM22" s="11"/>
      <c r="BN22" s="11"/>
      <c r="BO22" s="11"/>
      <c r="BP22" s="11"/>
      <c r="BQ22" s="54"/>
      <c r="BR22" s="56"/>
      <c r="BS22" s="56"/>
      <c r="BT22" s="56"/>
      <c r="BU22" s="56"/>
      <c r="BV22" s="56"/>
      <c r="BW22" s="56"/>
      <c r="BX22" s="56"/>
      <c r="BY22" s="56"/>
      <c r="BZ22" s="56"/>
      <c r="CA22" s="56"/>
      <c r="CB22" s="56"/>
      <c r="CC22" s="56"/>
      <c r="CD22" s="56"/>
      <c r="CE22" s="56"/>
      <c r="CF22" s="56"/>
      <c r="CG22" s="56"/>
      <c r="CJ22" s="12"/>
      <c r="CL22" s="60"/>
      <c r="CM22" s="60"/>
      <c r="CN22" s="60"/>
      <c r="CO22" s="60"/>
      <c r="CP22" s="60"/>
      <c r="CQ22" s="60"/>
      <c r="CR22" s="60"/>
      <c r="CS22" s="60"/>
      <c r="CT22" s="60"/>
      <c r="CU22" s="60"/>
      <c r="CV22" s="60"/>
      <c r="CW22" s="60"/>
      <c r="CX22" s="60"/>
      <c r="CY22" s="60"/>
      <c r="CZ22" s="60"/>
      <c r="DA22" s="60"/>
      <c r="DB22" s="60"/>
      <c r="DC22" s="60"/>
      <c r="DD22" s="60"/>
      <c r="DE22" s="60"/>
      <c r="DF22" s="54"/>
      <c r="DG22" s="21"/>
      <c r="DH22" s="21"/>
      <c r="DI22" s="21"/>
      <c r="DJ22" s="21"/>
      <c r="DK22" s="21"/>
      <c r="DL22" s="21"/>
      <c r="DM22" s="21"/>
      <c r="DN22" s="21"/>
      <c r="DO22" s="21"/>
      <c r="DP22" s="21"/>
      <c r="DQ22" s="21"/>
      <c r="DR22" s="21"/>
      <c r="DS22" s="21"/>
      <c r="DT22" s="21"/>
      <c r="DU22" s="21"/>
      <c r="DV22" s="21"/>
      <c r="DX22" s="60"/>
    </row>
    <row r="23" spans="1:128" ht="16" customHeight="1">
      <c r="AW23" s="11"/>
      <c r="AX23" s="11"/>
      <c r="AY23" s="11"/>
      <c r="AZ23" s="11"/>
      <c r="BA23" s="11"/>
      <c r="BB23" s="11"/>
      <c r="BC23" s="11"/>
      <c r="BD23" s="11"/>
      <c r="BE23" s="11"/>
      <c r="BF23" s="11"/>
      <c r="BG23" s="11"/>
      <c r="BH23" s="11"/>
      <c r="BI23" s="11"/>
      <c r="BJ23" s="56"/>
      <c r="BK23" s="11"/>
      <c r="BL23" s="34"/>
      <c r="BM23" s="11"/>
      <c r="BN23" s="11"/>
      <c r="BO23" s="11"/>
      <c r="BP23" s="11"/>
      <c r="BQ23" s="54"/>
      <c r="BR23" s="56"/>
      <c r="BS23" s="56"/>
      <c r="BT23" s="56"/>
      <c r="BU23" s="56"/>
      <c r="BV23" s="56"/>
      <c r="BW23" s="56"/>
      <c r="BX23" s="56"/>
      <c r="BY23" s="56"/>
      <c r="BZ23" s="56"/>
      <c r="CA23" s="56"/>
      <c r="CB23" s="56"/>
      <c r="CC23" s="56"/>
      <c r="CD23" s="56"/>
      <c r="CE23" s="56"/>
      <c r="CF23" s="56"/>
      <c r="CG23" s="56"/>
      <c r="CJ23" s="12"/>
      <c r="CL23" s="60"/>
      <c r="CM23" s="60"/>
      <c r="CN23" s="60"/>
      <c r="CO23" s="60"/>
      <c r="CP23" s="60"/>
      <c r="CQ23" s="60"/>
      <c r="CR23" s="60"/>
      <c r="CS23" s="60"/>
      <c r="CT23" s="60"/>
      <c r="CU23" s="60"/>
      <c r="CV23" s="60"/>
      <c r="CW23" s="60"/>
      <c r="CX23" s="60"/>
      <c r="CY23" s="60"/>
      <c r="CZ23" s="60"/>
      <c r="DA23" s="60"/>
      <c r="DB23" s="60"/>
      <c r="DC23" s="60"/>
      <c r="DD23" s="60"/>
      <c r="DE23" s="60"/>
      <c r="DF23" s="54"/>
      <c r="DG23" s="21"/>
      <c r="DH23" s="21"/>
      <c r="DI23" s="21"/>
      <c r="DJ23" s="21"/>
      <c r="DK23" s="21"/>
      <c r="DL23" s="21"/>
      <c r="DM23" s="21"/>
      <c r="DN23" s="21"/>
      <c r="DO23" s="21"/>
      <c r="DP23" s="21"/>
      <c r="DQ23" s="21"/>
      <c r="DR23" s="21"/>
      <c r="DS23" s="21"/>
      <c r="DT23" s="21"/>
      <c r="DU23" s="21"/>
      <c r="DV23" s="21"/>
      <c r="DX23" s="60"/>
    </row>
    <row r="24" spans="1:128" s="19" customFormat="1" ht="16" customHeight="1">
      <c r="A24" s="18"/>
      <c r="B24" s="17" t="s">
        <v>324</v>
      </c>
      <c r="C24" s="16"/>
      <c r="D24" s="18">
        <v>22</v>
      </c>
      <c r="E24" s="16"/>
      <c r="F24" s="16"/>
      <c r="G24" s="16"/>
      <c r="H24" s="20">
        <f>H11-J24/2</f>
        <v>40</v>
      </c>
      <c r="I24" s="20"/>
      <c r="J24" s="20">
        <v>8</v>
      </c>
      <c r="K24" s="20"/>
      <c r="L24" s="20"/>
      <c r="M24" s="20"/>
      <c r="N24" s="20"/>
      <c r="O24" s="20">
        <f>O11-J24/2</f>
        <v>59</v>
      </c>
      <c r="P24" s="20"/>
      <c r="Q24" s="20"/>
      <c r="R24" s="20"/>
      <c r="S24" s="20"/>
      <c r="T24"/>
      <c r="U24"/>
      <c r="V24"/>
      <c r="W24"/>
      <c r="X24"/>
      <c r="Y24" s="20">
        <f>9*D24-6</f>
        <v>192</v>
      </c>
      <c r="Z24" s="20">
        <f>4*D24-6</f>
        <v>82</v>
      </c>
      <c r="AA24" s="16"/>
      <c r="AB24" s="55"/>
      <c r="AC24"/>
      <c r="AD24"/>
      <c r="AE24"/>
      <c r="AF24"/>
      <c r="AG24"/>
      <c r="AH24"/>
      <c r="AI24"/>
      <c r="AJ24"/>
      <c r="AK24"/>
      <c r="AL24"/>
      <c r="AM24"/>
      <c r="AN24"/>
      <c r="AO24"/>
      <c r="AP24"/>
      <c r="AQ24"/>
      <c r="AS24" s="55"/>
      <c r="AT24"/>
      <c r="AU24" s="41"/>
      <c r="AV24" s="16"/>
      <c r="AW24" s="11">
        <f t="shared" si="0"/>
        <v>18.951980570131663</v>
      </c>
      <c r="AX24" s="11">
        <f t="shared" si="1"/>
        <v>0</v>
      </c>
      <c r="AY24" s="11">
        <f t="shared" si="2"/>
        <v>3.6414064401933364</v>
      </c>
      <c r="AZ24" s="11">
        <f t="shared" si="3"/>
        <v>0</v>
      </c>
      <c r="BA24" s="11">
        <f t="shared" si="4"/>
        <v>0</v>
      </c>
      <c r="BB24" s="11">
        <f t="shared" si="5"/>
        <v>0</v>
      </c>
      <c r="BC24" s="11">
        <f t="shared" si="6"/>
        <v>0</v>
      </c>
      <c r="BD24" s="11">
        <f t="shared" si="7"/>
        <v>24.191349074848191</v>
      </c>
      <c r="BE24" s="11">
        <f t="shared" si="8"/>
        <v>0</v>
      </c>
      <c r="BF24" s="11">
        <f t="shared" si="9"/>
        <v>0</v>
      </c>
      <c r="BG24" s="11">
        <f t="shared" si="10"/>
        <v>0</v>
      </c>
      <c r="BH24" s="11">
        <f t="shared" si="11"/>
        <v>0</v>
      </c>
      <c r="BI24" s="11">
        <f t="shared" si="12"/>
        <v>0</v>
      </c>
      <c r="BJ24" s="56">
        <f t="shared" si="13"/>
        <v>0</v>
      </c>
      <c r="BK24" s="11">
        <f t="shared" si="14"/>
        <v>0</v>
      </c>
      <c r="BL24" s="34">
        <f t="shared" si="15"/>
        <v>0</v>
      </c>
      <c r="BM24" s="11">
        <f t="shared" si="16"/>
        <v>0</v>
      </c>
      <c r="BN24" s="11">
        <f t="shared" si="17"/>
        <v>0</v>
      </c>
      <c r="BO24" s="11">
        <f t="shared" si="18"/>
        <v>51.82108697653149</v>
      </c>
      <c r="BP24" s="11">
        <f t="shared" si="19"/>
        <v>1.3941769382953151</v>
      </c>
      <c r="BQ24" s="54"/>
      <c r="BR24" s="56">
        <f t="shared" si="20"/>
        <v>0</v>
      </c>
      <c r="BS24" s="56">
        <f t="shared" si="21"/>
        <v>0</v>
      </c>
      <c r="BT24" s="56">
        <f t="shared" si="22"/>
        <v>0</v>
      </c>
      <c r="BU24" s="56">
        <f t="shared" si="23"/>
        <v>0</v>
      </c>
      <c r="BV24" s="56">
        <f t="shared" si="24"/>
        <v>0</v>
      </c>
      <c r="BW24" s="56">
        <f t="shared" si="25"/>
        <v>0</v>
      </c>
      <c r="BX24" s="56">
        <f t="shared" si="26"/>
        <v>0</v>
      </c>
      <c r="BY24" s="56">
        <f t="shared" si="27"/>
        <v>0</v>
      </c>
      <c r="BZ24" s="56">
        <f t="shared" si="28"/>
        <v>0</v>
      </c>
      <c r="CA24" s="56">
        <f t="shared" si="29"/>
        <v>0</v>
      </c>
      <c r="CB24" s="56">
        <f t="shared" si="30"/>
        <v>0</v>
      </c>
      <c r="CC24" s="56">
        <f t="shared" si="31"/>
        <v>0</v>
      </c>
      <c r="CD24" s="56">
        <f t="shared" si="32"/>
        <v>0</v>
      </c>
      <c r="CE24" s="56">
        <f t="shared" si="33"/>
        <v>0</v>
      </c>
      <c r="CF24" s="56">
        <f t="shared" si="34"/>
        <v>0</v>
      </c>
      <c r="CG24" s="56">
        <f t="shared" si="35"/>
        <v>0</v>
      </c>
      <c r="CH24" s="54"/>
      <c r="CI24" s="11"/>
      <c r="CJ24" s="12">
        <f t="shared" si="73"/>
        <v>100</v>
      </c>
      <c r="CK24" s="16"/>
      <c r="CL24" s="60">
        <f t="shared" si="74"/>
        <v>40.544185783656715</v>
      </c>
      <c r="CM24" s="60">
        <f t="shared" si="75"/>
        <v>0</v>
      </c>
      <c r="CN24" s="60">
        <f t="shared" si="76"/>
        <v>6.8802438697280834</v>
      </c>
      <c r="CO24" s="60">
        <f t="shared" si="77"/>
        <v>0</v>
      </c>
      <c r="CP24" s="60">
        <f t="shared" si="78"/>
        <v>0</v>
      </c>
      <c r="CQ24" s="60">
        <f t="shared" si="79"/>
        <v>0</v>
      </c>
      <c r="CR24" s="60">
        <f t="shared" si="80"/>
        <v>0</v>
      </c>
      <c r="CS24" s="60">
        <f t="shared" si="81"/>
        <v>0</v>
      </c>
      <c r="CT24" s="60">
        <f t="shared" si="82"/>
        <v>40.115288165587145</v>
      </c>
      <c r="CU24" s="60">
        <f t="shared" si="83"/>
        <v>0</v>
      </c>
      <c r="CV24" s="60">
        <f t="shared" si="84"/>
        <v>0</v>
      </c>
      <c r="CW24" s="60">
        <f t="shared" si="85"/>
        <v>0</v>
      </c>
      <c r="CX24" s="60">
        <f t="shared" si="86"/>
        <v>0</v>
      </c>
      <c r="CY24" s="60">
        <f t="shared" si="87"/>
        <v>0</v>
      </c>
      <c r="CZ24" s="60">
        <f t="shared" si="88"/>
        <v>0</v>
      </c>
      <c r="DA24" s="60">
        <f t="shared" si="89"/>
        <v>0</v>
      </c>
      <c r="DB24" s="60">
        <f t="shared" si="90"/>
        <v>0</v>
      </c>
      <c r="DC24" s="60">
        <f t="shared" si="91"/>
        <v>0</v>
      </c>
      <c r="DD24" s="60">
        <f t="shared" si="92"/>
        <v>12.460282181028063</v>
      </c>
      <c r="DE24" s="60">
        <f t="shared" si="93"/>
        <v>0</v>
      </c>
      <c r="DF24" s="54"/>
      <c r="DG24" s="21">
        <f t="shared" si="94"/>
        <v>0</v>
      </c>
      <c r="DH24" s="21">
        <f t="shared" si="95"/>
        <v>0</v>
      </c>
      <c r="DI24" s="21">
        <f t="shared" si="96"/>
        <v>0</v>
      </c>
      <c r="DJ24" s="21">
        <f t="shared" si="97"/>
        <v>0</v>
      </c>
      <c r="DK24" s="21">
        <f t="shared" si="98"/>
        <v>0</v>
      </c>
      <c r="DL24" s="21">
        <f t="shared" si="99"/>
        <v>0</v>
      </c>
      <c r="DM24" s="21">
        <f t="shared" si="100"/>
        <v>0</v>
      </c>
      <c r="DN24" s="21">
        <f t="shared" si="101"/>
        <v>0</v>
      </c>
      <c r="DO24" s="21">
        <f t="shared" si="102"/>
        <v>0</v>
      </c>
      <c r="DP24" s="21">
        <f t="shared" si="103"/>
        <v>0</v>
      </c>
      <c r="DQ24" s="21">
        <f t="shared" si="104"/>
        <v>0</v>
      </c>
      <c r="DR24" s="21">
        <f t="shared" si="105"/>
        <v>0</v>
      </c>
      <c r="DS24" s="21">
        <f t="shared" si="106"/>
        <v>0</v>
      </c>
      <c r="DT24" s="21">
        <f t="shared" si="107"/>
        <v>0</v>
      </c>
      <c r="DU24" s="21">
        <f t="shared" si="108"/>
        <v>0</v>
      </c>
      <c r="DV24" s="21">
        <f t="shared" si="109"/>
        <v>0</v>
      </c>
      <c r="DW24" s="16"/>
      <c r="DX24" s="60" t="e">
        <f t="shared" ca="1" si="72"/>
        <v>#NAME?</v>
      </c>
    </row>
    <row r="25" spans="1:128" ht="16" customHeight="1">
      <c r="B25" s="17" t="s">
        <v>324</v>
      </c>
      <c r="D25" s="18">
        <v>21</v>
      </c>
      <c r="H25" s="20">
        <f t="shared" ref="H25:H34" si="114">H12-J25/2</f>
        <v>38</v>
      </c>
      <c r="J25" s="20">
        <v>8</v>
      </c>
      <c r="O25" s="20">
        <f t="shared" ref="O25:O34" si="115">O12-J25/2</f>
        <v>56</v>
      </c>
      <c r="Y25" s="20">
        <f t="shared" ref="Y25:Y34" si="116">9*D25-6</f>
        <v>183</v>
      </c>
      <c r="Z25" s="20">
        <f t="shared" ref="Z25:Z34" si="117">4*D25-6</f>
        <v>78</v>
      </c>
      <c r="AW25" s="11">
        <f t="shared" si="0"/>
        <v>18.887324231024699</v>
      </c>
      <c r="AX25" s="11">
        <f t="shared" si="1"/>
        <v>0</v>
      </c>
      <c r="AY25" s="11">
        <f t="shared" si="2"/>
        <v>3.8199825933407325</v>
      </c>
      <c r="AZ25" s="11">
        <f t="shared" si="3"/>
        <v>0</v>
      </c>
      <c r="BA25" s="11">
        <f t="shared" si="4"/>
        <v>0</v>
      </c>
      <c r="BB25" s="11">
        <f t="shared" si="5"/>
        <v>0</v>
      </c>
      <c r="BC25" s="11">
        <f t="shared" si="6"/>
        <v>0</v>
      </c>
      <c r="BD25" s="11">
        <f t="shared" si="7"/>
        <v>24.087311643639953</v>
      </c>
      <c r="BE25" s="11">
        <f t="shared" si="8"/>
        <v>0</v>
      </c>
      <c r="BF25" s="11">
        <f t="shared" si="9"/>
        <v>0</v>
      </c>
      <c r="BG25" s="11">
        <f t="shared" si="10"/>
        <v>0</v>
      </c>
      <c r="BH25" s="11">
        <f t="shared" si="11"/>
        <v>0</v>
      </c>
      <c r="BI25" s="11">
        <f t="shared" si="12"/>
        <v>0</v>
      </c>
      <c r="BJ25" s="56">
        <f t="shared" si="13"/>
        <v>0</v>
      </c>
      <c r="BK25" s="11">
        <f t="shared" si="14"/>
        <v>0</v>
      </c>
      <c r="BL25" s="34">
        <f t="shared" si="15"/>
        <v>0</v>
      </c>
      <c r="BM25" s="11">
        <f t="shared" si="16"/>
        <v>0</v>
      </c>
      <c r="BN25" s="11">
        <f t="shared" si="17"/>
        <v>0</v>
      </c>
      <c r="BO25" s="11">
        <f t="shared" si="18"/>
        <v>51.814177355149589</v>
      </c>
      <c r="BP25" s="11">
        <f t="shared" si="19"/>
        <v>1.3912041768450312</v>
      </c>
      <c r="BQ25" s="54"/>
      <c r="BR25" s="56">
        <f t="shared" si="20"/>
        <v>0</v>
      </c>
      <c r="BS25" s="56">
        <f t="shared" si="21"/>
        <v>0</v>
      </c>
      <c r="BT25" s="56">
        <f t="shared" si="22"/>
        <v>0</v>
      </c>
      <c r="BU25" s="56">
        <f t="shared" si="23"/>
        <v>0</v>
      </c>
      <c r="BV25" s="56">
        <f t="shared" si="24"/>
        <v>0</v>
      </c>
      <c r="BW25" s="56">
        <f t="shared" si="25"/>
        <v>0</v>
      </c>
      <c r="BX25" s="56">
        <f t="shared" si="26"/>
        <v>0</v>
      </c>
      <c r="BY25" s="56">
        <f t="shared" si="27"/>
        <v>0</v>
      </c>
      <c r="BZ25" s="56">
        <f t="shared" si="28"/>
        <v>0</v>
      </c>
      <c r="CA25" s="56">
        <f t="shared" si="29"/>
        <v>0</v>
      </c>
      <c r="CB25" s="56">
        <f t="shared" si="30"/>
        <v>0</v>
      </c>
      <c r="CC25" s="56">
        <f t="shared" si="31"/>
        <v>0</v>
      </c>
      <c r="CD25" s="56">
        <f t="shared" si="32"/>
        <v>0</v>
      </c>
      <c r="CE25" s="56">
        <f t="shared" si="33"/>
        <v>0</v>
      </c>
      <c r="CF25" s="56">
        <f t="shared" si="34"/>
        <v>0</v>
      </c>
      <c r="CG25" s="56">
        <f t="shared" si="35"/>
        <v>0</v>
      </c>
      <c r="CH25" s="54"/>
      <c r="CI25" s="11"/>
      <c r="CJ25" s="12">
        <f t="shared" si="73"/>
        <v>100</v>
      </c>
      <c r="CL25" s="60">
        <f t="shared" si="74"/>
        <v>40.405865171144178</v>
      </c>
      <c r="CM25" s="60">
        <f t="shared" si="75"/>
        <v>0</v>
      </c>
      <c r="CN25" s="60">
        <f t="shared" si="76"/>
        <v>7.2176539138452327</v>
      </c>
      <c r="CO25" s="60">
        <f t="shared" si="77"/>
        <v>0</v>
      </c>
      <c r="CP25" s="60">
        <f t="shared" si="78"/>
        <v>0</v>
      </c>
      <c r="CQ25" s="60">
        <f t="shared" si="79"/>
        <v>0</v>
      </c>
      <c r="CR25" s="60">
        <f t="shared" si="80"/>
        <v>0</v>
      </c>
      <c r="CS25" s="60">
        <f t="shared" si="81"/>
        <v>0</v>
      </c>
      <c r="CT25" s="60">
        <f t="shared" si="82"/>
        <v>39.942767595557676</v>
      </c>
      <c r="CU25" s="60">
        <f t="shared" si="83"/>
        <v>0</v>
      </c>
      <c r="CV25" s="60">
        <f t="shared" si="84"/>
        <v>0</v>
      </c>
      <c r="CW25" s="60">
        <f t="shared" si="85"/>
        <v>0</v>
      </c>
      <c r="CX25" s="60">
        <f t="shared" si="86"/>
        <v>0</v>
      </c>
      <c r="CY25" s="60">
        <f t="shared" si="87"/>
        <v>0</v>
      </c>
      <c r="CZ25" s="60">
        <f t="shared" si="88"/>
        <v>0</v>
      </c>
      <c r="DA25" s="60">
        <f t="shared" si="89"/>
        <v>0</v>
      </c>
      <c r="DB25" s="60">
        <f t="shared" si="90"/>
        <v>0</v>
      </c>
      <c r="DC25" s="60">
        <f t="shared" si="91"/>
        <v>0</v>
      </c>
      <c r="DD25" s="60">
        <f t="shared" si="92"/>
        <v>12.433713319452911</v>
      </c>
      <c r="DE25" s="60">
        <f t="shared" si="93"/>
        <v>0</v>
      </c>
      <c r="DF25" s="54"/>
      <c r="DG25" s="21">
        <f t="shared" si="94"/>
        <v>0</v>
      </c>
      <c r="DH25" s="21">
        <f t="shared" si="95"/>
        <v>0</v>
      </c>
      <c r="DI25" s="21">
        <f t="shared" si="96"/>
        <v>0</v>
      </c>
      <c r="DJ25" s="21">
        <f t="shared" si="97"/>
        <v>0</v>
      </c>
      <c r="DK25" s="21">
        <f t="shared" si="98"/>
        <v>0</v>
      </c>
      <c r="DL25" s="21">
        <f t="shared" si="99"/>
        <v>0</v>
      </c>
      <c r="DM25" s="21">
        <f t="shared" si="100"/>
        <v>0</v>
      </c>
      <c r="DN25" s="21">
        <f t="shared" si="101"/>
        <v>0</v>
      </c>
      <c r="DO25" s="21">
        <f t="shared" si="102"/>
        <v>0</v>
      </c>
      <c r="DP25" s="21">
        <f t="shared" si="103"/>
        <v>0</v>
      </c>
      <c r="DQ25" s="21">
        <f t="shared" si="104"/>
        <v>0</v>
      </c>
      <c r="DR25" s="21">
        <f t="shared" si="105"/>
        <v>0</v>
      </c>
      <c r="DS25" s="21">
        <f t="shared" si="106"/>
        <v>0</v>
      </c>
      <c r="DT25" s="21">
        <f t="shared" si="107"/>
        <v>0</v>
      </c>
      <c r="DU25" s="21">
        <f t="shared" si="108"/>
        <v>0</v>
      </c>
      <c r="DV25" s="21">
        <f t="shared" si="109"/>
        <v>0</v>
      </c>
      <c r="DX25" s="60" t="e">
        <f t="shared" ca="1" si="72"/>
        <v>#NAME?</v>
      </c>
    </row>
    <row r="26" spans="1:128" s="19" customFormat="1" ht="16" customHeight="1">
      <c r="A26" s="18"/>
      <c r="B26" s="17" t="s">
        <v>324</v>
      </c>
      <c r="C26" s="16"/>
      <c r="D26" s="18">
        <v>20</v>
      </c>
      <c r="E26" s="16"/>
      <c r="F26" s="16"/>
      <c r="G26" s="16"/>
      <c r="H26" s="20">
        <f t="shared" si="114"/>
        <v>36</v>
      </c>
      <c r="I26" s="20"/>
      <c r="J26" s="20">
        <v>8</v>
      </c>
      <c r="K26" s="20"/>
      <c r="L26" s="20"/>
      <c r="M26" s="20"/>
      <c r="N26" s="20"/>
      <c r="O26" s="20">
        <f t="shared" si="115"/>
        <v>53</v>
      </c>
      <c r="P26" s="20"/>
      <c r="Q26" s="20"/>
      <c r="R26" s="20"/>
      <c r="S26" s="20"/>
      <c r="T26"/>
      <c r="U26"/>
      <c r="V26"/>
      <c r="W26"/>
      <c r="X26"/>
      <c r="Y26" s="20">
        <f t="shared" si="116"/>
        <v>174</v>
      </c>
      <c r="Z26" s="20">
        <f t="shared" si="117"/>
        <v>74</v>
      </c>
      <c r="AA26" s="16"/>
      <c r="AB26" s="55"/>
      <c r="AC26"/>
      <c r="AD26"/>
      <c r="AE26"/>
      <c r="AF26"/>
      <c r="AG26"/>
      <c r="AH26"/>
      <c r="AI26"/>
      <c r="AJ26"/>
      <c r="AK26"/>
      <c r="AL26"/>
      <c r="AM26"/>
      <c r="AN26"/>
      <c r="AO26"/>
      <c r="AP26"/>
      <c r="AQ26"/>
      <c r="AS26" s="55"/>
      <c r="AT26"/>
      <c r="AU26" s="41"/>
      <c r="AV26" s="16"/>
      <c r="AW26" s="11">
        <f t="shared" si="0"/>
        <v>18.815999311965943</v>
      </c>
      <c r="AX26" s="11">
        <f t="shared" si="1"/>
        <v>0</v>
      </c>
      <c r="AY26" s="11">
        <f t="shared" si="2"/>
        <v>4.0169768841555831</v>
      </c>
      <c r="AZ26" s="11">
        <f t="shared" si="3"/>
        <v>0</v>
      </c>
      <c r="BA26" s="11">
        <f t="shared" si="4"/>
        <v>0</v>
      </c>
      <c r="BB26" s="11">
        <f t="shared" si="5"/>
        <v>0</v>
      </c>
      <c r="BC26" s="11">
        <f t="shared" si="6"/>
        <v>0</v>
      </c>
      <c r="BD26" s="11">
        <f t="shared" si="7"/>
        <v>23.972543912238827</v>
      </c>
      <c r="BE26" s="11">
        <f t="shared" si="8"/>
        <v>0</v>
      </c>
      <c r="BF26" s="11">
        <f t="shared" si="9"/>
        <v>0</v>
      </c>
      <c r="BG26" s="11">
        <f t="shared" si="10"/>
        <v>0</v>
      </c>
      <c r="BH26" s="11">
        <f t="shared" si="11"/>
        <v>0</v>
      </c>
      <c r="BI26" s="11">
        <f t="shared" si="12"/>
        <v>0</v>
      </c>
      <c r="BJ26" s="56">
        <f t="shared" si="13"/>
        <v>0</v>
      </c>
      <c r="BK26" s="11">
        <f t="shared" si="14"/>
        <v>0</v>
      </c>
      <c r="BL26" s="34">
        <f t="shared" si="15"/>
        <v>0</v>
      </c>
      <c r="BM26" s="11">
        <f t="shared" si="16"/>
        <v>0</v>
      </c>
      <c r="BN26" s="11">
        <f t="shared" si="17"/>
        <v>0</v>
      </c>
      <c r="BO26" s="11">
        <f t="shared" si="18"/>
        <v>51.806555083418786</v>
      </c>
      <c r="BP26" s="11">
        <f t="shared" si="19"/>
        <v>1.3879248082208395</v>
      </c>
      <c r="BQ26" s="54"/>
      <c r="BR26" s="56">
        <f t="shared" si="20"/>
        <v>0</v>
      </c>
      <c r="BS26" s="56">
        <f t="shared" si="21"/>
        <v>0</v>
      </c>
      <c r="BT26" s="56">
        <f t="shared" si="22"/>
        <v>0</v>
      </c>
      <c r="BU26" s="56">
        <f t="shared" si="23"/>
        <v>0</v>
      </c>
      <c r="BV26" s="56">
        <f t="shared" si="24"/>
        <v>0</v>
      </c>
      <c r="BW26" s="56">
        <f t="shared" si="25"/>
        <v>0</v>
      </c>
      <c r="BX26" s="56">
        <f t="shared" si="26"/>
        <v>0</v>
      </c>
      <c r="BY26" s="56">
        <f t="shared" si="27"/>
        <v>0</v>
      </c>
      <c r="BZ26" s="56">
        <f t="shared" si="28"/>
        <v>0</v>
      </c>
      <c r="CA26" s="56">
        <f t="shared" si="29"/>
        <v>0</v>
      </c>
      <c r="CB26" s="56">
        <f t="shared" si="30"/>
        <v>0</v>
      </c>
      <c r="CC26" s="56">
        <f t="shared" si="31"/>
        <v>0</v>
      </c>
      <c r="CD26" s="56">
        <f t="shared" si="32"/>
        <v>0</v>
      </c>
      <c r="CE26" s="56">
        <f t="shared" si="33"/>
        <v>0</v>
      </c>
      <c r="CF26" s="56">
        <f t="shared" si="34"/>
        <v>0</v>
      </c>
      <c r="CG26" s="56">
        <f t="shared" si="35"/>
        <v>0</v>
      </c>
      <c r="CH26" s="54"/>
      <c r="CI26" s="11"/>
      <c r="CJ26" s="12">
        <f t="shared" si="73"/>
        <v>99.999999999999986</v>
      </c>
      <c r="CK26" s="16"/>
      <c r="CL26" s="60">
        <f t="shared" si="74"/>
        <v>40.253278335397461</v>
      </c>
      <c r="CM26" s="60">
        <f t="shared" si="75"/>
        <v>0</v>
      </c>
      <c r="CN26" s="60">
        <f t="shared" si="76"/>
        <v>7.5898640280560175</v>
      </c>
      <c r="CO26" s="60">
        <f t="shared" si="77"/>
        <v>0</v>
      </c>
      <c r="CP26" s="60">
        <f t="shared" si="78"/>
        <v>0</v>
      </c>
      <c r="CQ26" s="60">
        <f t="shared" si="79"/>
        <v>0</v>
      </c>
      <c r="CR26" s="60">
        <f t="shared" si="80"/>
        <v>0</v>
      </c>
      <c r="CS26" s="60">
        <f t="shared" si="81"/>
        <v>0</v>
      </c>
      <c r="CT26" s="60">
        <f t="shared" si="82"/>
        <v>39.752453459408002</v>
      </c>
      <c r="CU26" s="60">
        <f t="shared" si="83"/>
        <v>0</v>
      </c>
      <c r="CV26" s="60">
        <f t="shared" si="84"/>
        <v>0</v>
      </c>
      <c r="CW26" s="60">
        <f t="shared" si="85"/>
        <v>0</v>
      </c>
      <c r="CX26" s="60">
        <f t="shared" si="86"/>
        <v>0</v>
      </c>
      <c r="CY26" s="60">
        <f t="shared" si="87"/>
        <v>0</v>
      </c>
      <c r="CZ26" s="60">
        <f t="shared" si="88"/>
        <v>0</v>
      </c>
      <c r="DA26" s="60">
        <f t="shared" si="89"/>
        <v>0</v>
      </c>
      <c r="DB26" s="60">
        <f t="shared" si="90"/>
        <v>0</v>
      </c>
      <c r="DC26" s="60">
        <f t="shared" si="91"/>
        <v>0</v>
      </c>
      <c r="DD26" s="60">
        <f t="shared" si="92"/>
        <v>12.404404177138513</v>
      </c>
      <c r="DE26" s="60">
        <f t="shared" si="93"/>
        <v>0</v>
      </c>
      <c r="DF26" s="54"/>
      <c r="DG26" s="21">
        <f t="shared" si="94"/>
        <v>0</v>
      </c>
      <c r="DH26" s="21">
        <f t="shared" si="95"/>
        <v>0</v>
      </c>
      <c r="DI26" s="21">
        <f t="shared" si="96"/>
        <v>0</v>
      </c>
      <c r="DJ26" s="21">
        <f t="shared" si="97"/>
        <v>0</v>
      </c>
      <c r="DK26" s="21">
        <f t="shared" si="98"/>
        <v>0</v>
      </c>
      <c r="DL26" s="21">
        <f t="shared" si="99"/>
        <v>0</v>
      </c>
      <c r="DM26" s="21">
        <f t="shared" si="100"/>
        <v>0</v>
      </c>
      <c r="DN26" s="21">
        <f t="shared" si="101"/>
        <v>0</v>
      </c>
      <c r="DO26" s="21">
        <f t="shared" si="102"/>
        <v>0</v>
      </c>
      <c r="DP26" s="21">
        <f t="shared" si="103"/>
        <v>0</v>
      </c>
      <c r="DQ26" s="21">
        <f t="shared" si="104"/>
        <v>0</v>
      </c>
      <c r="DR26" s="21">
        <f t="shared" si="105"/>
        <v>0</v>
      </c>
      <c r="DS26" s="21">
        <f t="shared" si="106"/>
        <v>0</v>
      </c>
      <c r="DT26" s="21">
        <f t="shared" si="107"/>
        <v>0</v>
      </c>
      <c r="DU26" s="21">
        <f t="shared" si="108"/>
        <v>0</v>
      </c>
      <c r="DV26" s="21">
        <f t="shared" si="109"/>
        <v>0</v>
      </c>
      <c r="DW26" s="16"/>
      <c r="DX26" s="60" t="e">
        <f t="shared" ca="1" si="72"/>
        <v>#NAME?</v>
      </c>
    </row>
    <row r="27" spans="1:128" s="19" customFormat="1" ht="16" customHeight="1">
      <c r="A27" s="18"/>
      <c r="B27" s="17" t="s">
        <v>324</v>
      </c>
      <c r="C27" s="16"/>
      <c r="D27" s="18">
        <v>19</v>
      </c>
      <c r="E27" s="16"/>
      <c r="F27" s="16"/>
      <c r="G27" s="16"/>
      <c r="H27" s="20">
        <f t="shared" si="114"/>
        <v>34</v>
      </c>
      <c r="I27" s="20"/>
      <c r="J27" s="20">
        <v>8</v>
      </c>
      <c r="K27" s="20"/>
      <c r="L27" s="20"/>
      <c r="M27" s="20"/>
      <c r="N27" s="20"/>
      <c r="O27" s="20">
        <f t="shared" si="115"/>
        <v>50</v>
      </c>
      <c r="P27" s="20"/>
      <c r="Q27" s="20"/>
      <c r="R27" s="20"/>
      <c r="S27" s="20"/>
      <c r="T27"/>
      <c r="U27"/>
      <c r="V27"/>
      <c r="W27"/>
      <c r="X27"/>
      <c r="Y27" s="20">
        <f t="shared" si="116"/>
        <v>165</v>
      </c>
      <c r="Z27" s="20">
        <f t="shared" si="117"/>
        <v>70</v>
      </c>
      <c r="AA27" s="16"/>
      <c r="AB27" s="55"/>
      <c r="AC27"/>
      <c r="AD27"/>
      <c r="AE27"/>
      <c r="AF27"/>
      <c r="AG27"/>
      <c r="AH27"/>
      <c r="AI27"/>
      <c r="AJ27"/>
      <c r="AK27"/>
      <c r="AL27"/>
      <c r="AM27"/>
      <c r="AN27"/>
      <c r="AO27"/>
      <c r="AP27"/>
      <c r="AQ27"/>
      <c r="AS27" s="55"/>
      <c r="AT27"/>
      <c r="AU27" s="41"/>
      <c r="AV27" s="16"/>
      <c r="AW27" s="11">
        <f t="shared" si="0"/>
        <v>18.736918032315245</v>
      </c>
      <c r="AX27" s="11">
        <f t="shared" si="1"/>
        <v>0</v>
      </c>
      <c r="AY27" s="11">
        <f t="shared" si="2"/>
        <v>4.2353936844422932</v>
      </c>
      <c r="AZ27" s="11">
        <f t="shared" si="3"/>
        <v>0</v>
      </c>
      <c r="BA27" s="11">
        <f t="shared" si="4"/>
        <v>0</v>
      </c>
      <c r="BB27" s="11">
        <f t="shared" si="5"/>
        <v>0</v>
      </c>
      <c r="BC27" s="11">
        <f t="shared" si="6"/>
        <v>0</v>
      </c>
      <c r="BD27" s="11">
        <f t="shared" si="7"/>
        <v>23.845295551054814</v>
      </c>
      <c r="BE27" s="11">
        <f t="shared" si="8"/>
        <v>0</v>
      </c>
      <c r="BF27" s="11">
        <f t="shared" si="9"/>
        <v>0</v>
      </c>
      <c r="BG27" s="11">
        <f t="shared" si="10"/>
        <v>0</v>
      </c>
      <c r="BH27" s="11">
        <f t="shared" si="11"/>
        <v>0</v>
      </c>
      <c r="BI27" s="11">
        <f t="shared" si="12"/>
        <v>0</v>
      </c>
      <c r="BJ27" s="56">
        <f t="shared" si="13"/>
        <v>0</v>
      </c>
      <c r="BK27" s="11">
        <f t="shared" si="14"/>
        <v>0</v>
      </c>
      <c r="BL27" s="34">
        <f t="shared" si="15"/>
        <v>0</v>
      </c>
      <c r="BM27" s="11">
        <f t="shared" si="16"/>
        <v>0</v>
      </c>
      <c r="BN27" s="11">
        <f t="shared" si="17"/>
        <v>0</v>
      </c>
      <c r="BO27" s="11">
        <f t="shared" si="18"/>
        <v>51.798103913613488</v>
      </c>
      <c r="BP27" s="11">
        <f t="shared" si="19"/>
        <v>1.3842888185741666</v>
      </c>
      <c r="BQ27" s="54"/>
      <c r="BR27" s="56">
        <f t="shared" si="20"/>
        <v>0</v>
      </c>
      <c r="BS27" s="56">
        <f t="shared" si="21"/>
        <v>0</v>
      </c>
      <c r="BT27" s="56">
        <f t="shared" si="22"/>
        <v>0</v>
      </c>
      <c r="BU27" s="56">
        <f t="shared" si="23"/>
        <v>0</v>
      </c>
      <c r="BV27" s="56">
        <f t="shared" si="24"/>
        <v>0</v>
      </c>
      <c r="BW27" s="56">
        <f t="shared" si="25"/>
        <v>0</v>
      </c>
      <c r="BX27" s="56">
        <f t="shared" si="26"/>
        <v>0</v>
      </c>
      <c r="BY27" s="56">
        <f t="shared" si="27"/>
        <v>0</v>
      </c>
      <c r="BZ27" s="56">
        <f t="shared" si="28"/>
        <v>0</v>
      </c>
      <c r="CA27" s="56">
        <f t="shared" si="29"/>
        <v>0</v>
      </c>
      <c r="CB27" s="56">
        <f t="shared" si="30"/>
        <v>0</v>
      </c>
      <c r="CC27" s="56">
        <f t="shared" si="31"/>
        <v>0</v>
      </c>
      <c r="CD27" s="56">
        <f t="shared" si="32"/>
        <v>0</v>
      </c>
      <c r="CE27" s="56">
        <f t="shared" si="33"/>
        <v>0</v>
      </c>
      <c r="CF27" s="56">
        <f t="shared" si="34"/>
        <v>0</v>
      </c>
      <c r="CG27" s="56">
        <f t="shared" si="35"/>
        <v>0</v>
      </c>
      <c r="CH27" s="54"/>
      <c r="CI27" s="11"/>
      <c r="CJ27" s="12">
        <f t="shared" si="73"/>
        <v>100</v>
      </c>
      <c r="CK27" s="16"/>
      <c r="CL27" s="60">
        <f t="shared" si="74"/>
        <v>40.084098166852257</v>
      </c>
      <c r="CM27" s="60">
        <f t="shared" si="75"/>
        <v>0</v>
      </c>
      <c r="CN27" s="60">
        <f t="shared" si="76"/>
        <v>8.0025508076740071</v>
      </c>
      <c r="CO27" s="60">
        <f t="shared" si="77"/>
        <v>0</v>
      </c>
      <c r="CP27" s="60">
        <f t="shared" si="78"/>
        <v>0</v>
      </c>
      <c r="CQ27" s="60">
        <f t="shared" si="79"/>
        <v>0</v>
      </c>
      <c r="CR27" s="60">
        <f t="shared" si="80"/>
        <v>0</v>
      </c>
      <c r="CS27" s="60">
        <f t="shared" si="81"/>
        <v>0</v>
      </c>
      <c r="CT27" s="60">
        <f t="shared" si="82"/>
        <v>39.541443266603551</v>
      </c>
      <c r="CU27" s="60">
        <f t="shared" si="83"/>
        <v>0</v>
      </c>
      <c r="CV27" s="60">
        <f t="shared" si="84"/>
        <v>0</v>
      </c>
      <c r="CW27" s="60">
        <f t="shared" si="85"/>
        <v>0</v>
      </c>
      <c r="CX27" s="60">
        <f t="shared" si="86"/>
        <v>0</v>
      </c>
      <c r="CY27" s="60">
        <f t="shared" si="87"/>
        <v>0</v>
      </c>
      <c r="CZ27" s="60">
        <f t="shared" si="88"/>
        <v>0</v>
      </c>
      <c r="DA27" s="60">
        <f t="shared" si="89"/>
        <v>0</v>
      </c>
      <c r="DB27" s="60">
        <f t="shared" si="90"/>
        <v>0</v>
      </c>
      <c r="DC27" s="60">
        <f t="shared" si="91"/>
        <v>0</v>
      </c>
      <c r="DD27" s="60">
        <f t="shared" si="92"/>
        <v>12.371907758870188</v>
      </c>
      <c r="DE27" s="60">
        <f t="shared" si="93"/>
        <v>0</v>
      </c>
      <c r="DF27" s="54"/>
      <c r="DG27" s="21">
        <f t="shared" si="94"/>
        <v>0</v>
      </c>
      <c r="DH27" s="21">
        <f t="shared" si="95"/>
        <v>0</v>
      </c>
      <c r="DI27" s="21">
        <f t="shared" si="96"/>
        <v>0</v>
      </c>
      <c r="DJ27" s="21">
        <f t="shared" si="97"/>
        <v>0</v>
      </c>
      <c r="DK27" s="21">
        <f t="shared" si="98"/>
        <v>0</v>
      </c>
      <c r="DL27" s="21">
        <f t="shared" si="99"/>
        <v>0</v>
      </c>
      <c r="DM27" s="21">
        <f t="shared" si="100"/>
        <v>0</v>
      </c>
      <c r="DN27" s="21">
        <f t="shared" si="101"/>
        <v>0</v>
      </c>
      <c r="DO27" s="21">
        <f t="shared" si="102"/>
        <v>0</v>
      </c>
      <c r="DP27" s="21">
        <f t="shared" si="103"/>
        <v>0</v>
      </c>
      <c r="DQ27" s="21">
        <f t="shared" si="104"/>
        <v>0</v>
      </c>
      <c r="DR27" s="21">
        <f t="shared" si="105"/>
        <v>0</v>
      </c>
      <c r="DS27" s="21">
        <f t="shared" si="106"/>
        <v>0</v>
      </c>
      <c r="DT27" s="21">
        <f t="shared" si="107"/>
        <v>0</v>
      </c>
      <c r="DU27" s="21">
        <f t="shared" si="108"/>
        <v>0</v>
      </c>
      <c r="DV27" s="21">
        <f t="shared" si="109"/>
        <v>0</v>
      </c>
      <c r="DW27" s="16"/>
      <c r="DX27" s="60" t="e">
        <f t="shared" ca="1" si="72"/>
        <v>#NAME?</v>
      </c>
    </row>
    <row r="28" spans="1:128" s="19" customFormat="1" ht="16" customHeight="1">
      <c r="A28" s="18"/>
      <c r="B28" s="17" t="s">
        <v>324</v>
      </c>
      <c r="C28" s="16"/>
      <c r="D28" s="18">
        <v>18</v>
      </c>
      <c r="E28" s="16"/>
      <c r="F28" s="16"/>
      <c r="G28" s="16"/>
      <c r="H28" s="20">
        <f t="shared" si="114"/>
        <v>32</v>
      </c>
      <c r="I28" s="20"/>
      <c r="J28" s="20">
        <v>8</v>
      </c>
      <c r="K28" s="20"/>
      <c r="L28" s="20"/>
      <c r="M28" s="20"/>
      <c r="N28" s="20"/>
      <c r="O28" s="20">
        <f t="shared" si="115"/>
        <v>47</v>
      </c>
      <c r="P28" s="20"/>
      <c r="Q28" s="20"/>
      <c r="R28" s="20"/>
      <c r="S28" s="20"/>
      <c r="T28"/>
      <c r="U28"/>
      <c r="V28"/>
      <c r="W28"/>
      <c r="X28"/>
      <c r="Y28" s="20">
        <f t="shared" si="116"/>
        <v>156</v>
      </c>
      <c r="Z28" s="20">
        <f t="shared" si="117"/>
        <v>66</v>
      </c>
      <c r="AA28" s="16"/>
      <c r="AB28" s="55"/>
      <c r="AC28"/>
      <c r="AD28"/>
      <c r="AE28"/>
      <c r="AF28"/>
      <c r="AG28"/>
      <c r="AH28"/>
      <c r="AI28"/>
      <c r="AJ28"/>
      <c r="AK28"/>
      <c r="AL28"/>
      <c r="AM28"/>
      <c r="AN28"/>
      <c r="AO28"/>
      <c r="AP28"/>
      <c r="AQ28"/>
      <c r="AS28" s="55"/>
      <c r="AT28"/>
      <c r="AU28" s="41"/>
      <c r="AV28" s="16"/>
      <c r="AW28" s="11">
        <f t="shared" si="0"/>
        <v>18.648742422348572</v>
      </c>
      <c r="AX28" s="11">
        <f t="shared" si="1"/>
        <v>0</v>
      </c>
      <c r="AY28" s="11">
        <f t="shared" si="2"/>
        <v>4.4789283702404488</v>
      </c>
      <c r="AZ28" s="11">
        <f t="shared" si="3"/>
        <v>0</v>
      </c>
      <c r="BA28" s="11">
        <f t="shared" si="4"/>
        <v>0</v>
      </c>
      <c r="BB28" s="11">
        <f t="shared" si="5"/>
        <v>0</v>
      </c>
      <c r="BC28" s="11">
        <f t="shared" si="6"/>
        <v>0</v>
      </c>
      <c r="BD28" s="11">
        <f t="shared" si="7"/>
        <v>23.703413655437807</v>
      </c>
      <c r="BE28" s="11">
        <f t="shared" si="8"/>
        <v>0</v>
      </c>
      <c r="BF28" s="11">
        <f t="shared" si="9"/>
        <v>0</v>
      </c>
      <c r="BG28" s="11">
        <f t="shared" si="10"/>
        <v>0</v>
      </c>
      <c r="BH28" s="11">
        <f t="shared" si="11"/>
        <v>0</v>
      </c>
      <c r="BI28" s="11">
        <f t="shared" si="12"/>
        <v>0</v>
      </c>
      <c r="BJ28" s="56">
        <f t="shared" si="13"/>
        <v>0</v>
      </c>
      <c r="BK28" s="11">
        <f t="shared" si="14"/>
        <v>0</v>
      </c>
      <c r="BL28" s="34">
        <f t="shared" si="15"/>
        <v>0</v>
      </c>
      <c r="BM28" s="11">
        <f t="shared" si="16"/>
        <v>0</v>
      </c>
      <c r="BN28" s="11">
        <f t="shared" si="17"/>
        <v>0</v>
      </c>
      <c r="BO28" s="11">
        <f t="shared" si="18"/>
        <v>51.788680861080607</v>
      </c>
      <c r="BP28" s="11">
        <f t="shared" si="19"/>
        <v>1.3802346908925711</v>
      </c>
      <c r="BQ28" s="54"/>
      <c r="BR28" s="56">
        <f t="shared" si="20"/>
        <v>0</v>
      </c>
      <c r="BS28" s="56">
        <f t="shared" si="21"/>
        <v>0</v>
      </c>
      <c r="BT28" s="56">
        <f t="shared" si="22"/>
        <v>0</v>
      </c>
      <c r="BU28" s="56">
        <f t="shared" si="23"/>
        <v>0</v>
      </c>
      <c r="BV28" s="56">
        <f t="shared" si="24"/>
        <v>0</v>
      </c>
      <c r="BW28" s="56">
        <f t="shared" si="25"/>
        <v>0</v>
      </c>
      <c r="BX28" s="56">
        <f t="shared" si="26"/>
        <v>0</v>
      </c>
      <c r="BY28" s="56">
        <f t="shared" si="27"/>
        <v>0</v>
      </c>
      <c r="BZ28" s="56">
        <f t="shared" si="28"/>
        <v>0</v>
      </c>
      <c r="CA28" s="56">
        <f t="shared" si="29"/>
        <v>0</v>
      </c>
      <c r="CB28" s="56">
        <f t="shared" si="30"/>
        <v>0</v>
      </c>
      <c r="CC28" s="56">
        <f t="shared" si="31"/>
        <v>0</v>
      </c>
      <c r="CD28" s="56">
        <f t="shared" si="32"/>
        <v>0</v>
      </c>
      <c r="CE28" s="56">
        <f t="shared" si="33"/>
        <v>0</v>
      </c>
      <c r="CF28" s="56">
        <f t="shared" si="34"/>
        <v>0</v>
      </c>
      <c r="CG28" s="56">
        <f t="shared" si="35"/>
        <v>0</v>
      </c>
      <c r="CH28" s="54"/>
      <c r="CI28" s="11"/>
      <c r="CJ28" s="12">
        <f t="shared" si="73"/>
        <v>100</v>
      </c>
      <c r="CK28" s="16"/>
      <c r="CL28" s="60">
        <f t="shared" si="74"/>
        <v>39.895462321927496</v>
      </c>
      <c r="CM28" s="60">
        <f t="shared" si="75"/>
        <v>0</v>
      </c>
      <c r="CN28" s="60">
        <f t="shared" si="76"/>
        <v>8.4626964620490668</v>
      </c>
      <c r="CO28" s="60">
        <f t="shared" si="77"/>
        <v>0</v>
      </c>
      <c r="CP28" s="60">
        <f t="shared" si="78"/>
        <v>0</v>
      </c>
      <c r="CQ28" s="60">
        <f t="shared" si="79"/>
        <v>0</v>
      </c>
      <c r="CR28" s="60">
        <f t="shared" si="80"/>
        <v>0</v>
      </c>
      <c r="CS28" s="60">
        <f t="shared" si="81"/>
        <v>0</v>
      </c>
      <c r="CT28" s="60">
        <f t="shared" si="82"/>
        <v>39.30616695526232</v>
      </c>
      <c r="CU28" s="60">
        <f t="shared" si="83"/>
        <v>0</v>
      </c>
      <c r="CV28" s="60">
        <f t="shared" si="84"/>
        <v>0</v>
      </c>
      <c r="CW28" s="60">
        <f t="shared" si="85"/>
        <v>0</v>
      </c>
      <c r="CX28" s="60">
        <f t="shared" si="86"/>
        <v>0</v>
      </c>
      <c r="CY28" s="60">
        <f t="shared" si="87"/>
        <v>0</v>
      </c>
      <c r="CZ28" s="60">
        <f t="shared" si="88"/>
        <v>0</v>
      </c>
      <c r="DA28" s="60">
        <f t="shared" si="89"/>
        <v>0</v>
      </c>
      <c r="DB28" s="60">
        <f t="shared" si="90"/>
        <v>0</v>
      </c>
      <c r="DC28" s="60">
        <f t="shared" si="91"/>
        <v>0</v>
      </c>
      <c r="DD28" s="60">
        <f t="shared" si="92"/>
        <v>12.335674260761126</v>
      </c>
      <c r="DE28" s="60">
        <f t="shared" si="93"/>
        <v>0</v>
      </c>
      <c r="DF28" s="54"/>
      <c r="DG28" s="21">
        <f t="shared" si="94"/>
        <v>0</v>
      </c>
      <c r="DH28" s="21">
        <f t="shared" si="95"/>
        <v>0</v>
      </c>
      <c r="DI28" s="21">
        <f t="shared" si="96"/>
        <v>0</v>
      </c>
      <c r="DJ28" s="21">
        <f t="shared" si="97"/>
        <v>0</v>
      </c>
      <c r="DK28" s="21">
        <f t="shared" si="98"/>
        <v>0</v>
      </c>
      <c r="DL28" s="21">
        <f t="shared" si="99"/>
        <v>0</v>
      </c>
      <c r="DM28" s="21">
        <f t="shared" si="100"/>
        <v>0</v>
      </c>
      <c r="DN28" s="21">
        <f t="shared" si="101"/>
        <v>0</v>
      </c>
      <c r="DO28" s="21">
        <f t="shared" si="102"/>
        <v>0</v>
      </c>
      <c r="DP28" s="21">
        <f t="shared" si="103"/>
        <v>0</v>
      </c>
      <c r="DQ28" s="21">
        <f t="shared" si="104"/>
        <v>0</v>
      </c>
      <c r="DR28" s="21">
        <f t="shared" si="105"/>
        <v>0</v>
      </c>
      <c r="DS28" s="21">
        <f t="shared" si="106"/>
        <v>0</v>
      </c>
      <c r="DT28" s="21">
        <f t="shared" si="107"/>
        <v>0</v>
      </c>
      <c r="DU28" s="21">
        <f t="shared" si="108"/>
        <v>0</v>
      </c>
      <c r="DV28" s="21">
        <f t="shared" si="109"/>
        <v>0</v>
      </c>
      <c r="DW28" s="16"/>
      <c r="DX28" s="60" t="e">
        <f t="shared" ca="1" si="72"/>
        <v>#NAME?</v>
      </c>
    </row>
    <row r="29" spans="1:128" s="19" customFormat="1" ht="16" customHeight="1">
      <c r="A29" s="18"/>
      <c r="B29" s="17" t="s">
        <v>324</v>
      </c>
      <c r="C29" s="16"/>
      <c r="D29" s="18">
        <v>17</v>
      </c>
      <c r="E29" s="16"/>
      <c r="F29" s="16"/>
      <c r="G29" s="16"/>
      <c r="H29" s="20">
        <f t="shared" si="114"/>
        <v>30</v>
      </c>
      <c r="I29" s="20"/>
      <c r="J29" s="20">
        <v>8</v>
      </c>
      <c r="K29" s="20"/>
      <c r="L29" s="20"/>
      <c r="M29" s="20"/>
      <c r="N29" s="20"/>
      <c r="O29" s="20">
        <f t="shared" si="115"/>
        <v>44</v>
      </c>
      <c r="P29" s="20"/>
      <c r="Q29" s="20"/>
      <c r="R29" s="20"/>
      <c r="S29" s="20"/>
      <c r="T29"/>
      <c r="U29"/>
      <c r="V29"/>
      <c r="W29"/>
      <c r="X29"/>
      <c r="Y29" s="20">
        <f t="shared" si="116"/>
        <v>147</v>
      </c>
      <c r="Z29" s="20">
        <f t="shared" si="117"/>
        <v>62</v>
      </c>
      <c r="AA29" s="16"/>
      <c r="AB29" s="55"/>
      <c r="AC29"/>
      <c r="AD29"/>
      <c r="AE29"/>
      <c r="AF29"/>
      <c r="AG29"/>
      <c r="AH29"/>
      <c r="AI29"/>
      <c r="AJ29"/>
      <c r="AK29"/>
      <c r="AL29"/>
      <c r="AM29"/>
      <c r="AN29"/>
      <c r="AO29"/>
      <c r="AP29"/>
      <c r="AQ29"/>
      <c r="AS29" s="55"/>
      <c r="AT29"/>
      <c r="AU29" s="41"/>
      <c r="AV29" s="16"/>
      <c r="AW29" s="11">
        <f t="shared" si="0"/>
        <v>18.549808005782968</v>
      </c>
      <c r="AX29" s="11">
        <f t="shared" si="1"/>
        <v>0</v>
      </c>
      <c r="AY29" s="11">
        <f t="shared" si="2"/>
        <v>4.7521781051958758</v>
      </c>
      <c r="AZ29" s="11">
        <f t="shared" si="3"/>
        <v>0</v>
      </c>
      <c r="BA29" s="11">
        <f t="shared" si="4"/>
        <v>0</v>
      </c>
      <c r="BB29" s="11">
        <f t="shared" si="5"/>
        <v>0</v>
      </c>
      <c r="BC29" s="11">
        <f t="shared" si="6"/>
        <v>0</v>
      </c>
      <c r="BD29" s="11">
        <f t="shared" si="7"/>
        <v>23.544219944508047</v>
      </c>
      <c r="BE29" s="11">
        <f t="shared" si="8"/>
        <v>0</v>
      </c>
      <c r="BF29" s="11">
        <f t="shared" si="9"/>
        <v>0</v>
      </c>
      <c r="BG29" s="11">
        <f t="shared" si="10"/>
        <v>0</v>
      </c>
      <c r="BH29" s="11">
        <f t="shared" si="11"/>
        <v>0</v>
      </c>
      <c r="BI29" s="11">
        <f t="shared" si="12"/>
        <v>0</v>
      </c>
      <c r="BJ29" s="56">
        <f t="shared" si="13"/>
        <v>0</v>
      </c>
      <c r="BK29" s="11">
        <f t="shared" si="14"/>
        <v>0</v>
      </c>
      <c r="BL29" s="34">
        <f t="shared" si="15"/>
        <v>0</v>
      </c>
      <c r="BM29" s="11">
        <f t="shared" si="16"/>
        <v>0</v>
      </c>
      <c r="BN29" s="11">
        <f t="shared" si="17"/>
        <v>0</v>
      </c>
      <c r="BO29" s="11">
        <f t="shared" si="18"/>
        <v>51.778108048429132</v>
      </c>
      <c r="BP29" s="11">
        <f t="shared" si="19"/>
        <v>1.3756858960839757</v>
      </c>
      <c r="BQ29" s="54"/>
      <c r="BR29" s="56">
        <f t="shared" si="20"/>
        <v>0</v>
      </c>
      <c r="BS29" s="56">
        <f t="shared" si="21"/>
        <v>0</v>
      </c>
      <c r="BT29" s="56">
        <f t="shared" si="22"/>
        <v>0</v>
      </c>
      <c r="BU29" s="56">
        <f t="shared" si="23"/>
        <v>0</v>
      </c>
      <c r="BV29" s="56">
        <f t="shared" si="24"/>
        <v>0</v>
      </c>
      <c r="BW29" s="56">
        <f t="shared" si="25"/>
        <v>0</v>
      </c>
      <c r="BX29" s="56">
        <f t="shared" si="26"/>
        <v>0</v>
      </c>
      <c r="BY29" s="56">
        <f t="shared" si="27"/>
        <v>0</v>
      </c>
      <c r="BZ29" s="56">
        <f t="shared" si="28"/>
        <v>0</v>
      </c>
      <c r="CA29" s="56">
        <f t="shared" si="29"/>
        <v>0</v>
      </c>
      <c r="CB29" s="56">
        <f t="shared" si="30"/>
        <v>0</v>
      </c>
      <c r="CC29" s="56">
        <f t="shared" si="31"/>
        <v>0</v>
      </c>
      <c r="CD29" s="56">
        <f t="shared" si="32"/>
        <v>0</v>
      </c>
      <c r="CE29" s="56">
        <f t="shared" si="33"/>
        <v>0</v>
      </c>
      <c r="CF29" s="56">
        <f t="shared" si="34"/>
        <v>0</v>
      </c>
      <c r="CG29" s="56">
        <f t="shared" si="35"/>
        <v>0</v>
      </c>
      <c r="CH29" s="54"/>
      <c r="CI29" s="11"/>
      <c r="CJ29" s="12">
        <f t="shared" si="73"/>
        <v>100</v>
      </c>
      <c r="CK29" s="16"/>
      <c r="CL29" s="60">
        <f t="shared" si="74"/>
        <v>39.68380995573736</v>
      </c>
      <c r="CM29" s="60">
        <f t="shared" si="75"/>
        <v>0</v>
      </c>
      <c r="CN29" s="60">
        <f t="shared" si="76"/>
        <v>8.978987077861964</v>
      </c>
      <c r="CO29" s="60">
        <f t="shared" si="77"/>
        <v>0</v>
      </c>
      <c r="CP29" s="60">
        <f t="shared" si="78"/>
        <v>0</v>
      </c>
      <c r="CQ29" s="60">
        <f t="shared" si="79"/>
        <v>0</v>
      </c>
      <c r="CR29" s="60">
        <f t="shared" si="80"/>
        <v>0</v>
      </c>
      <c r="CS29" s="60">
        <f t="shared" si="81"/>
        <v>0</v>
      </c>
      <c r="CT29" s="60">
        <f t="shared" si="82"/>
        <v>39.042183256810297</v>
      </c>
      <c r="CU29" s="60">
        <f t="shared" si="83"/>
        <v>0</v>
      </c>
      <c r="CV29" s="60">
        <f t="shared" si="84"/>
        <v>0</v>
      </c>
      <c r="CW29" s="60">
        <f t="shared" si="85"/>
        <v>0</v>
      </c>
      <c r="CX29" s="60">
        <f t="shared" si="86"/>
        <v>0</v>
      </c>
      <c r="CY29" s="60">
        <f t="shared" si="87"/>
        <v>0</v>
      </c>
      <c r="CZ29" s="60">
        <f t="shared" si="88"/>
        <v>0</v>
      </c>
      <c r="DA29" s="60">
        <f t="shared" si="89"/>
        <v>0</v>
      </c>
      <c r="DB29" s="60">
        <f t="shared" si="90"/>
        <v>0</v>
      </c>
      <c r="DC29" s="60">
        <f t="shared" si="91"/>
        <v>0</v>
      </c>
      <c r="DD29" s="60">
        <f t="shared" si="92"/>
        <v>12.295019709590386</v>
      </c>
      <c r="DE29" s="60">
        <f t="shared" si="93"/>
        <v>0</v>
      </c>
      <c r="DF29" s="54"/>
      <c r="DG29" s="21">
        <f t="shared" si="94"/>
        <v>0</v>
      </c>
      <c r="DH29" s="21">
        <f t="shared" si="95"/>
        <v>0</v>
      </c>
      <c r="DI29" s="21">
        <f t="shared" si="96"/>
        <v>0</v>
      </c>
      <c r="DJ29" s="21">
        <f t="shared" si="97"/>
        <v>0</v>
      </c>
      <c r="DK29" s="21">
        <f t="shared" si="98"/>
        <v>0</v>
      </c>
      <c r="DL29" s="21">
        <f t="shared" si="99"/>
        <v>0</v>
      </c>
      <c r="DM29" s="21">
        <f t="shared" si="100"/>
        <v>0</v>
      </c>
      <c r="DN29" s="21">
        <f t="shared" si="101"/>
        <v>0</v>
      </c>
      <c r="DO29" s="21">
        <f t="shared" si="102"/>
        <v>0</v>
      </c>
      <c r="DP29" s="21">
        <f t="shared" si="103"/>
        <v>0</v>
      </c>
      <c r="DQ29" s="21">
        <f t="shared" si="104"/>
        <v>0</v>
      </c>
      <c r="DR29" s="21">
        <f t="shared" si="105"/>
        <v>0</v>
      </c>
      <c r="DS29" s="21">
        <f t="shared" si="106"/>
        <v>0</v>
      </c>
      <c r="DT29" s="21">
        <f t="shared" si="107"/>
        <v>0</v>
      </c>
      <c r="DU29" s="21">
        <f t="shared" si="108"/>
        <v>0</v>
      </c>
      <c r="DV29" s="21">
        <f t="shared" si="109"/>
        <v>0</v>
      </c>
      <c r="DW29" s="16"/>
      <c r="DX29" s="60" t="e">
        <f t="shared" ca="1" si="72"/>
        <v>#NAME?</v>
      </c>
    </row>
    <row r="30" spans="1:128" s="19" customFormat="1" ht="16" customHeight="1">
      <c r="A30" s="18"/>
      <c r="B30" s="17" t="s">
        <v>324</v>
      </c>
      <c r="C30" s="16"/>
      <c r="D30" s="18">
        <v>16</v>
      </c>
      <c r="E30" s="16"/>
      <c r="F30" s="16"/>
      <c r="G30" s="16"/>
      <c r="H30" s="20">
        <f t="shared" si="114"/>
        <v>28</v>
      </c>
      <c r="I30" s="20"/>
      <c r="J30" s="20">
        <v>8</v>
      </c>
      <c r="K30" s="20"/>
      <c r="L30" s="20"/>
      <c r="M30" s="20"/>
      <c r="N30" s="20"/>
      <c r="O30" s="20">
        <f t="shared" si="115"/>
        <v>41</v>
      </c>
      <c r="P30" s="20"/>
      <c r="Q30" s="20"/>
      <c r="R30" s="20"/>
      <c r="S30" s="20"/>
      <c r="T30"/>
      <c r="U30"/>
      <c r="V30"/>
      <c r="W30"/>
      <c r="X30"/>
      <c r="Y30" s="20">
        <f t="shared" si="116"/>
        <v>138</v>
      </c>
      <c r="Z30" s="20">
        <f t="shared" si="117"/>
        <v>58</v>
      </c>
      <c r="AA30" s="16"/>
      <c r="AB30" s="55"/>
      <c r="AC30"/>
      <c r="AD30"/>
      <c r="AE30"/>
      <c r="AF30"/>
      <c r="AG30"/>
      <c r="AH30"/>
      <c r="AI30"/>
      <c r="AJ30"/>
      <c r="AK30"/>
      <c r="AL30"/>
      <c r="AM30"/>
      <c r="AN30"/>
      <c r="AO30"/>
      <c r="AP30"/>
      <c r="AQ30"/>
      <c r="AS30" s="55"/>
      <c r="AT30"/>
      <c r="AU30" s="41"/>
      <c r="AV30" s="16"/>
      <c r="AW30" s="11">
        <f t="shared" si="0"/>
        <v>18.438017731483633</v>
      </c>
      <c r="AX30" s="11">
        <f t="shared" si="1"/>
        <v>0</v>
      </c>
      <c r="AY30" s="11">
        <f t="shared" si="2"/>
        <v>5.0609347935484479</v>
      </c>
      <c r="AZ30" s="11">
        <f t="shared" si="3"/>
        <v>0</v>
      </c>
      <c r="BA30" s="11">
        <f t="shared" si="4"/>
        <v>0</v>
      </c>
      <c r="BB30" s="11">
        <f t="shared" si="5"/>
        <v>0</v>
      </c>
      <c r="BC30" s="11">
        <f t="shared" si="6"/>
        <v>0</v>
      </c>
      <c r="BD30" s="11">
        <f t="shared" si="7"/>
        <v>23.364340088444344</v>
      </c>
      <c r="BE30" s="11">
        <f t="shared" si="8"/>
        <v>0</v>
      </c>
      <c r="BF30" s="11">
        <f t="shared" si="9"/>
        <v>0</v>
      </c>
      <c r="BG30" s="11">
        <f t="shared" si="10"/>
        <v>0</v>
      </c>
      <c r="BH30" s="11">
        <f t="shared" si="11"/>
        <v>0</v>
      </c>
      <c r="BI30" s="11">
        <f t="shared" si="12"/>
        <v>0</v>
      </c>
      <c r="BJ30" s="56">
        <f t="shared" si="13"/>
        <v>0</v>
      </c>
      <c r="BK30" s="11">
        <f t="shared" si="14"/>
        <v>0</v>
      </c>
      <c r="BL30" s="34">
        <f t="shared" si="15"/>
        <v>0</v>
      </c>
      <c r="BM30" s="11">
        <f t="shared" si="16"/>
        <v>0</v>
      </c>
      <c r="BN30" s="11">
        <f t="shared" si="17"/>
        <v>0</v>
      </c>
      <c r="BO30" s="11">
        <f t="shared" si="18"/>
        <v>51.766161370342253</v>
      </c>
      <c r="BP30" s="11">
        <f t="shared" si="19"/>
        <v>1.370546016181343</v>
      </c>
      <c r="BQ30" s="54"/>
      <c r="BR30" s="56">
        <f t="shared" si="20"/>
        <v>0</v>
      </c>
      <c r="BS30" s="56">
        <f t="shared" si="21"/>
        <v>0</v>
      </c>
      <c r="BT30" s="56">
        <f t="shared" si="22"/>
        <v>0</v>
      </c>
      <c r="BU30" s="56">
        <f t="shared" si="23"/>
        <v>0</v>
      </c>
      <c r="BV30" s="56">
        <f t="shared" si="24"/>
        <v>0</v>
      </c>
      <c r="BW30" s="56">
        <f t="shared" si="25"/>
        <v>0</v>
      </c>
      <c r="BX30" s="56">
        <f t="shared" si="26"/>
        <v>0</v>
      </c>
      <c r="BY30" s="56">
        <f t="shared" si="27"/>
        <v>0</v>
      </c>
      <c r="BZ30" s="56">
        <f t="shared" si="28"/>
        <v>0</v>
      </c>
      <c r="CA30" s="56">
        <f t="shared" si="29"/>
        <v>0</v>
      </c>
      <c r="CB30" s="56">
        <f t="shared" si="30"/>
        <v>0</v>
      </c>
      <c r="CC30" s="56">
        <f t="shared" si="31"/>
        <v>0</v>
      </c>
      <c r="CD30" s="56">
        <f t="shared" si="32"/>
        <v>0</v>
      </c>
      <c r="CE30" s="56">
        <f t="shared" si="33"/>
        <v>0</v>
      </c>
      <c r="CF30" s="56">
        <f t="shared" si="34"/>
        <v>0</v>
      </c>
      <c r="CG30" s="56">
        <f t="shared" si="35"/>
        <v>0</v>
      </c>
      <c r="CH30" s="54"/>
      <c r="CI30" s="11"/>
      <c r="CJ30" s="12">
        <f t="shared" si="73"/>
        <v>100.00000000000001</v>
      </c>
      <c r="CK30" s="16"/>
      <c r="CL30" s="60">
        <f t="shared" si="74"/>
        <v>39.444654808392308</v>
      </c>
      <c r="CM30" s="60">
        <f t="shared" si="75"/>
        <v>0</v>
      </c>
      <c r="CN30" s="60">
        <f t="shared" si="76"/>
        <v>9.5623661372138251</v>
      </c>
      <c r="CO30" s="60">
        <f t="shared" si="77"/>
        <v>0</v>
      </c>
      <c r="CP30" s="60">
        <f t="shared" si="78"/>
        <v>0</v>
      </c>
      <c r="CQ30" s="60">
        <f t="shared" si="79"/>
        <v>0</v>
      </c>
      <c r="CR30" s="60">
        <f t="shared" si="80"/>
        <v>0</v>
      </c>
      <c r="CS30" s="60">
        <f t="shared" si="81"/>
        <v>0</v>
      </c>
      <c r="CT30" s="60">
        <f t="shared" si="82"/>
        <v>38.743896677565218</v>
      </c>
      <c r="CU30" s="60">
        <f t="shared" si="83"/>
        <v>0</v>
      </c>
      <c r="CV30" s="60">
        <f t="shared" si="84"/>
        <v>0</v>
      </c>
      <c r="CW30" s="60">
        <f t="shared" si="85"/>
        <v>0</v>
      </c>
      <c r="CX30" s="60">
        <f t="shared" si="86"/>
        <v>0</v>
      </c>
      <c r="CY30" s="60">
        <f t="shared" si="87"/>
        <v>0</v>
      </c>
      <c r="CZ30" s="60">
        <f t="shared" si="88"/>
        <v>0</v>
      </c>
      <c r="DA30" s="60">
        <f t="shared" si="89"/>
        <v>0</v>
      </c>
      <c r="DB30" s="60">
        <f t="shared" si="90"/>
        <v>0</v>
      </c>
      <c r="DC30" s="60">
        <f t="shared" si="91"/>
        <v>0</v>
      </c>
      <c r="DD30" s="60">
        <f t="shared" si="92"/>
        <v>12.249082376828653</v>
      </c>
      <c r="DE30" s="60">
        <f t="shared" si="93"/>
        <v>0</v>
      </c>
      <c r="DF30" s="54"/>
      <c r="DG30" s="21">
        <f t="shared" si="94"/>
        <v>0</v>
      </c>
      <c r="DH30" s="21">
        <f t="shared" si="95"/>
        <v>0</v>
      </c>
      <c r="DI30" s="21">
        <f t="shared" si="96"/>
        <v>0</v>
      </c>
      <c r="DJ30" s="21">
        <f t="shared" si="97"/>
        <v>0</v>
      </c>
      <c r="DK30" s="21">
        <f t="shared" si="98"/>
        <v>0</v>
      </c>
      <c r="DL30" s="21">
        <f t="shared" si="99"/>
        <v>0</v>
      </c>
      <c r="DM30" s="21">
        <f t="shared" si="100"/>
        <v>0</v>
      </c>
      <c r="DN30" s="21">
        <f t="shared" si="101"/>
        <v>0</v>
      </c>
      <c r="DO30" s="21">
        <f t="shared" si="102"/>
        <v>0</v>
      </c>
      <c r="DP30" s="21">
        <f t="shared" si="103"/>
        <v>0</v>
      </c>
      <c r="DQ30" s="21">
        <f t="shared" si="104"/>
        <v>0</v>
      </c>
      <c r="DR30" s="21">
        <f t="shared" si="105"/>
        <v>0</v>
      </c>
      <c r="DS30" s="21">
        <f t="shared" si="106"/>
        <v>0</v>
      </c>
      <c r="DT30" s="21">
        <f t="shared" si="107"/>
        <v>0</v>
      </c>
      <c r="DU30" s="21">
        <f t="shared" si="108"/>
        <v>0</v>
      </c>
      <c r="DV30" s="21">
        <f t="shared" si="109"/>
        <v>0</v>
      </c>
      <c r="DW30" s="16"/>
      <c r="DX30" s="60" t="e">
        <f t="shared" ca="1" si="72"/>
        <v>#NAME?</v>
      </c>
    </row>
    <row r="31" spans="1:128" s="19" customFormat="1" ht="16" customHeight="1">
      <c r="A31" s="18"/>
      <c r="B31" s="17" t="s">
        <v>324</v>
      </c>
      <c r="C31" s="16"/>
      <c r="D31" s="18">
        <v>15</v>
      </c>
      <c r="E31" s="16"/>
      <c r="F31" s="16"/>
      <c r="G31" s="16"/>
      <c r="H31" s="20">
        <f t="shared" si="114"/>
        <v>26</v>
      </c>
      <c r="I31" s="20"/>
      <c r="J31" s="20">
        <v>8</v>
      </c>
      <c r="K31" s="20"/>
      <c r="L31" s="20"/>
      <c r="M31" s="20"/>
      <c r="N31" s="20"/>
      <c r="O31" s="20">
        <f t="shared" si="115"/>
        <v>38</v>
      </c>
      <c r="P31" s="20"/>
      <c r="Q31" s="20"/>
      <c r="R31" s="20"/>
      <c r="S31" s="20"/>
      <c r="T31"/>
      <c r="U31"/>
      <c r="V31"/>
      <c r="W31"/>
      <c r="X31"/>
      <c r="Y31" s="20">
        <f t="shared" si="116"/>
        <v>129</v>
      </c>
      <c r="Z31" s="20">
        <f t="shared" si="117"/>
        <v>54</v>
      </c>
      <c r="AA31" s="16"/>
      <c r="AB31" s="55"/>
      <c r="AC31"/>
      <c r="AD31"/>
      <c r="AE31"/>
      <c r="AF31"/>
      <c r="AG31"/>
      <c r="AH31"/>
      <c r="AI31"/>
      <c r="AJ31"/>
      <c r="AK31"/>
      <c r="AL31"/>
      <c r="AM31"/>
      <c r="AN31"/>
      <c r="AO31"/>
      <c r="AP31"/>
      <c r="AQ31"/>
      <c r="AS31" s="55"/>
      <c r="AT31"/>
      <c r="AU31" s="41"/>
      <c r="AV31" s="16"/>
      <c r="AW31" s="11">
        <f t="shared" si="0"/>
        <v>18.310691683443881</v>
      </c>
      <c r="AX31" s="11">
        <f t="shared" si="1"/>
        <v>0</v>
      </c>
      <c r="AY31" s="11">
        <f t="shared" si="2"/>
        <v>5.4126001703459554</v>
      </c>
      <c r="AZ31" s="11">
        <f t="shared" si="3"/>
        <v>0</v>
      </c>
      <c r="BA31" s="11">
        <f t="shared" si="4"/>
        <v>0</v>
      </c>
      <c r="BB31" s="11">
        <f t="shared" si="5"/>
        <v>0</v>
      </c>
      <c r="BC31" s="11">
        <f t="shared" si="6"/>
        <v>0</v>
      </c>
      <c r="BD31" s="11">
        <f t="shared" si="7"/>
        <v>23.159461879332667</v>
      </c>
      <c r="BE31" s="11">
        <f t="shared" si="8"/>
        <v>0</v>
      </c>
      <c r="BF31" s="11">
        <f t="shared" si="9"/>
        <v>0</v>
      </c>
      <c r="BG31" s="11">
        <f t="shared" si="10"/>
        <v>0</v>
      </c>
      <c r="BH31" s="11">
        <f t="shared" si="11"/>
        <v>0</v>
      </c>
      <c r="BI31" s="11">
        <f t="shared" si="12"/>
        <v>0</v>
      </c>
      <c r="BJ31" s="56">
        <f t="shared" si="13"/>
        <v>0</v>
      </c>
      <c r="BK31" s="11">
        <f t="shared" si="14"/>
        <v>0</v>
      </c>
      <c r="BL31" s="34">
        <f t="shared" si="15"/>
        <v>0</v>
      </c>
      <c r="BM31" s="11">
        <f t="shared" si="16"/>
        <v>0</v>
      </c>
      <c r="BN31" s="11">
        <f t="shared" si="17"/>
        <v>0</v>
      </c>
      <c r="BO31" s="11">
        <f t="shared" si="18"/>
        <v>51.752554432551449</v>
      </c>
      <c r="BP31" s="11">
        <f t="shared" si="19"/>
        <v>1.3646918343260519</v>
      </c>
      <c r="BQ31" s="54"/>
      <c r="BR31" s="56">
        <f t="shared" si="20"/>
        <v>0</v>
      </c>
      <c r="BS31" s="56">
        <f t="shared" si="21"/>
        <v>0</v>
      </c>
      <c r="BT31" s="56">
        <f t="shared" si="22"/>
        <v>0</v>
      </c>
      <c r="BU31" s="56">
        <f t="shared" si="23"/>
        <v>0</v>
      </c>
      <c r="BV31" s="56">
        <f t="shared" si="24"/>
        <v>0</v>
      </c>
      <c r="BW31" s="56">
        <f t="shared" si="25"/>
        <v>0</v>
      </c>
      <c r="BX31" s="56">
        <f t="shared" si="26"/>
        <v>0</v>
      </c>
      <c r="BY31" s="56">
        <f t="shared" si="27"/>
        <v>0</v>
      </c>
      <c r="BZ31" s="56">
        <f t="shared" si="28"/>
        <v>0</v>
      </c>
      <c r="CA31" s="56">
        <f t="shared" si="29"/>
        <v>0</v>
      </c>
      <c r="CB31" s="56">
        <f t="shared" si="30"/>
        <v>0</v>
      </c>
      <c r="CC31" s="56">
        <f t="shared" si="31"/>
        <v>0</v>
      </c>
      <c r="CD31" s="56">
        <f t="shared" si="32"/>
        <v>0</v>
      </c>
      <c r="CE31" s="56">
        <f t="shared" si="33"/>
        <v>0</v>
      </c>
      <c r="CF31" s="56">
        <f t="shared" si="34"/>
        <v>0</v>
      </c>
      <c r="CG31" s="56">
        <f t="shared" si="35"/>
        <v>0</v>
      </c>
      <c r="CH31" s="54"/>
      <c r="CI31" s="11"/>
      <c r="CJ31" s="12">
        <f t="shared" si="73"/>
        <v>100.00000000000001</v>
      </c>
      <c r="CK31" s="16"/>
      <c r="CL31" s="60">
        <f t="shared" si="74"/>
        <v>39.172263687049977</v>
      </c>
      <c r="CM31" s="60">
        <f t="shared" si="75"/>
        <v>0</v>
      </c>
      <c r="CN31" s="60">
        <f t="shared" si="76"/>
        <v>10.226818806991499</v>
      </c>
      <c r="CO31" s="60">
        <f t="shared" si="77"/>
        <v>0</v>
      </c>
      <c r="CP31" s="60">
        <f t="shared" si="78"/>
        <v>0</v>
      </c>
      <c r="CQ31" s="60">
        <f t="shared" si="79"/>
        <v>0</v>
      </c>
      <c r="CR31" s="60">
        <f t="shared" si="80"/>
        <v>0</v>
      </c>
      <c r="CS31" s="60">
        <f t="shared" si="81"/>
        <v>0</v>
      </c>
      <c r="CT31" s="60">
        <f t="shared" si="82"/>
        <v>38.404156485041938</v>
      </c>
      <c r="CU31" s="60">
        <f t="shared" si="83"/>
        <v>0</v>
      </c>
      <c r="CV31" s="60">
        <f t="shared" si="84"/>
        <v>0</v>
      </c>
      <c r="CW31" s="60">
        <f t="shared" si="85"/>
        <v>0</v>
      </c>
      <c r="CX31" s="60">
        <f t="shared" si="86"/>
        <v>0</v>
      </c>
      <c r="CY31" s="60">
        <f t="shared" si="87"/>
        <v>0</v>
      </c>
      <c r="CZ31" s="60">
        <f t="shared" si="88"/>
        <v>0</v>
      </c>
      <c r="DA31" s="60">
        <f t="shared" si="89"/>
        <v>0</v>
      </c>
      <c r="DB31" s="60">
        <f t="shared" si="90"/>
        <v>0</v>
      </c>
      <c r="DC31" s="60">
        <f t="shared" si="91"/>
        <v>0</v>
      </c>
      <c r="DD31" s="60">
        <f t="shared" si="92"/>
        <v>12.196761020916577</v>
      </c>
      <c r="DE31" s="60">
        <f t="shared" si="93"/>
        <v>0</v>
      </c>
      <c r="DF31" s="54"/>
      <c r="DG31" s="21">
        <f t="shared" si="94"/>
        <v>0</v>
      </c>
      <c r="DH31" s="21">
        <f t="shared" si="95"/>
        <v>0</v>
      </c>
      <c r="DI31" s="21">
        <f t="shared" si="96"/>
        <v>0</v>
      </c>
      <c r="DJ31" s="21">
        <f t="shared" si="97"/>
        <v>0</v>
      </c>
      <c r="DK31" s="21">
        <f t="shared" si="98"/>
        <v>0</v>
      </c>
      <c r="DL31" s="21">
        <f t="shared" si="99"/>
        <v>0</v>
      </c>
      <c r="DM31" s="21">
        <f t="shared" si="100"/>
        <v>0</v>
      </c>
      <c r="DN31" s="21">
        <f t="shared" si="101"/>
        <v>0</v>
      </c>
      <c r="DO31" s="21">
        <f t="shared" si="102"/>
        <v>0</v>
      </c>
      <c r="DP31" s="21">
        <f t="shared" si="103"/>
        <v>0</v>
      </c>
      <c r="DQ31" s="21">
        <f t="shared" si="104"/>
        <v>0</v>
      </c>
      <c r="DR31" s="21">
        <f t="shared" si="105"/>
        <v>0</v>
      </c>
      <c r="DS31" s="21">
        <f t="shared" si="106"/>
        <v>0</v>
      </c>
      <c r="DT31" s="21">
        <f t="shared" si="107"/>
        <v>0</v>
      </c>
      <c r="DU31" s="21">
        <f t="shared" si="108"/>
        <v>0</v>
      </c>
      <c r="DV31" s="21">
        <f t="shared" si="109"/>
        <v>0</v>
      </c>
      <c r="DW31" s="16"/>
      <c r="DX31" s="60" t="e">
        <f t="shared" ca="1" si="72"/>
        <v>#NAME?</v>
      </c>
    </row>
    <row r="32" spans="1:128" s="19" customFormat="1" ht="16" customHeight="1">
      <c r="A32" s="18"/>
      <c r="B32" s="17" t="s">
        <v>324</v>
      </c>
      <c r="C32" s="16"/>
      <c r="D32" s="18">
        <v>14</v>
      </c>
      <c r="E32" s="16"/>
      <c r="F32" s="16"/>
      <c r="G32" s="16"/>
      <c r="H32" s="20">
        <f t="shared" si="114"/>
        <v>24</v>
      </c>
      <c r="I32" s="20"/>
      <c r="J32" s="20">
        <v>8</v>
      </c>
      <c r="K32" s="20"/>
      <c r="L32" s="20"/>
      <c r="M32" s="20"/>
      <c r="N32" s="20"/>
      <c r="O32" s="20">
        <f t="shared" si="115"/>
        <v>35</v>
      </c>
      <c r="P32" s="20"/>
      <c r="Q32" s="20"/>
      <c r="R32" s="20"/>
      <c r="S32" s="20"/>
      <c r="T32"/>
      <c r="U32"/>
      <c r="V32"/>
      <c r="W32"/>
      <c r="X32"/>
      <c r="Y32" s="20">
        <f t="shared" si="116"/>
        <v>120</v>
      </c>
      <c r="Z32" s="20">
        <f t="shared" si="117"/>
        <v>50</v>
      </c>
      <c r="AA32" s="16"/>
      <c r="AB32" s="55"/>
      <c r="AC32"/>
      <c r="AD32"/>
      <c r="AE32"/>
      <c r="AF32"/>
      <c r="AG32"/>
      <c r="AH32"/>
      <c r="AI32"/>
      <c r="AJ32"/>
      <c r="AK32"/>
      <c r="AL32"/>
      <c r="AM32"/>
      <c r="AN32"/>
      <c r="AO32"/>
      <c r="AP32"/>
      <c r="AQ32"/>
      <c r="AS32" s="55"/>
      <c r="AT32"/>
      <c r="AU32" s="41"/>
      <c r="AV32" s="16"/>
      <c r="AW32" s="11">
        <f t="shared" si="0"/>
        <v>18.164349453190919</v>
      </c>
      <c r="AX32" s="11">
        <f t="shared" si="1"/>
        <v>0</v>
      </c>
      <c r="AY32" s="11">
        <f t="shared" si="2"/>
        <v>5.8167868731895993</v>
      </c>
      <c r="AZ32" s="11">
        <f t="shared" si="3"/>
        <v>0</v>
      </c>
      <c r="BA32" s="11">
        <f t="shared" si="4"/>
        <v>0</v>
      </c>
      <c r="BB32" s="11">
        <f t="shared" si="5"/>
        <v>0</v>
      </c>
      <c r="BC32" s="11">
        <f t="shared" si="6"/>
        <v>0</v>
      </c>
      <c r="BD32" s="11">
        <f t="shared" si="7"/>
        <v>22.923985050253073</v>
      </c>
      <c r="BE32" s="11">
        <f t="shared" si="8"/>
        <v>0</v>
      </c>
      <c r="BF32" s="11">
        <f t="shared" si="9"/>
        <v>0</v>
      </c>
      <c r="BG32" s="11">
        <f t="shared" si="10"/>
        <v>0</v>
      </c>
      <c r="BH32" s="11">
        <f t="shared" si="11"/>
        <v>0</v>
      </c>
      <c r="BI32" s="11">
        <f t="shared" si="12"/>
        <v>0</v>
      </c>
      <c r="BJ32" s="56">
        <f t="shared" si="13"/>
        <v>0</v>
      </c>
      <c r="BK32" s="11">
        <f t="shared" si="14"/>
        <v>0</v>
      </c>
      <c r="BL32" s="34">
        <f t="shared" si="15"/>
        <v>0</v>
      </c>
      <c r="BM32" s="11">
        <f t="shared" si="16"/>
        <v>0</v>
      </c>
      <c r="BN32" s="11">
        <f t="shared" si="17"/>
        <v>0</v>
      </c>
      <c r="BO32" s="11">
        <f t="shared" si="18"/>
        <v>51.736915294654096</v>
      </c>
      <c r="BP32" s="11">
        <f t="shared" si="19"/>
        <v>1.3579633287123203</v>
      </c>
      <c r="BQ32" s="54"/>
      <c r="BR32" s="56">
        <f t="shared" si="20"/>
        <v>0</v>
      </c>
      <c r="BS32" s="56">
        <f t="shared" si="21"/>
        <v>0</v>
      </c>
      <c r="BT32" s="56">
        <f t="shared" si="22"/>
        <v>0</v>
      </c>
      <c r="BU32" s="56">
        <f t="shared" si="23"/>
        <v>0</v>
      </c>
      <c r="BV32" s="56">
        <f t="shared" si="24"/>
        <v>0</v>
      </c>
      <c r="BW32" s="56">
        <f t="shared" si="25"/>
        <v>0</v>
      </c>
      <c r="BX32" s="56">
        <f t="shared" si="26"/>
        <v>0</v>
      </c>
      <c r="BY32" s="56">
        <f t="shared" si="27"/>
        <v>0</v>
      </c>
      <c r="BZ32" s="56">
        <f t="shared" si="28"/>
        <v>0</v>
      </c>
      <c r="CA32" s="56">
        <f t="shared" si="29"/>
        <v>0</v>
      </c>
      <c r="CB32" s="56">
        <f t="shared" si="30"/>
        <v>0</v>
      </c>
      <c r="CC32" s="56">
        <f t="shared" si="31"/>
        <v>0</v>
      </c>
      <c r="CD32" s="56">
        <f t="shared" si="32"/>
        <v>0</v>
      </c>
      <c r="CE32" s="56">
        <f t="shared" si="33"/>
        <v>0</v>
      </c>
      <c r="CF32" s="56">
        <f t="shared" si="34"/>
        <v>0</v>
      </c>
      <c r="CG32" s="56">
        <f t="shared" si="35"/>
        <v>0</v>
      </c>
      <c r="CH32" s="54"/>
      <c r="CI32" s="11"/>
      <c r="CJ32" s="12">
        <f t="shared" si="73"/>
        <v>100</v>
      </c>
      <c r="CK32" s="16"/>
      <c r="CL32" s="60">
        <f t="shared" si="74"/>
        <v>38.859190891636068</v>
      </c>
      <c r="CM32" s="60">
        <f t="shared" si="75"/>
        <v>0</v>
      </c>
      <c r="CN32" s="60">
        <f t="shared" si="76"/>
        <v>10.990507629602183</v>
      </c>
      <c r="CO32" s="60">
        <f t="shared" si="77"/>
        <v>0</v>
      </c>
      <c r="CP32" s="60">
        <f t="shared" si="78"/>
        <v>0</v>
      </c>
      <c r="CQ32" s="60">
        <f t="shared" si="79"/>
        <v>0</v>
      </c>
      <c r="CR32" s="60">
        <f t="shared" si="80"/>
        <v>0</v>
      </c>
      <c r="CS32" s="60">
        <f t="shared" si="81"/>
        <v>0</v>
      </c>
      <c r="CT32" s="60">
        <f t="shared" si="82"/>
        <v>38.013676019806653</v>
      </c>
      <c r="CU32" s="60">
        <f t="shared" si="83"/>
        <v>0</v>
      </c>
      <c r="CV32" s="60">
        <f t="shared" si="84"/>
        <v>0</v>
      </c>
      <c r="CW32" s="60">
        <f t="shared" si="85"/>
        <v>0</v>
      </c>
      <c r="CX32" s="60">
        <f t="shared" si="86"/>
        <v>0</v>
      </c>
      <c r="CY32" s="60">
        <f t="shared" si="87"/>
        <v>0</v>
      </c>
      <c r="CZ32" s="60">
        <f t="shared" si="88"/>
        <v>0</v>
      </c>
      <c r="DA32" s="60">
        <f t="shared" si="89"/>
        <v>0</v>
      </c>
      <c r="DB32" s="60">
        <f t="shared" si="90"/>
        <v>0</v>
      </c>
      <c r="DC32" s="60">
        <f t="shared" si="91"/>
        <v>0</v>
      </c>
      <c r="DD32" s="60">
        <f t="shared" si="92"/>
        <v>12.136625458955098</v>
      </c>
      <c r="DE32" s="60">
        <f t="shared" si="93"/>
        <v>0</v>
      </c>
      <c r="DF32" s="54"/>
      <c r="DG32" s="21">
        <f t="shared" si="94"/>
        <v>0</v>
      </c>
      <c r="DH32" s="21">
        <f t="shared" si="95"/>
        <v>0</v>
      </c>
      <c r="DI32" s="21">
        <f t="shared" si="96"/>
        <v>0</v>
      </c>
      <c r="DJ32" s="21">
        <f t="shared" si="97"/>
        <v>0</v>
      </c>
      <c r="DK32" s="21">
        <f t="shared" si="98"/>
        <v>0</v>
      </c>
      <c r="DL32" s="21">
        <f t="shared" si="99"/>
        <v>0</v>
      </c>
      <c r="DM32" s="21">
        <f t="shared" si="100"/>
        <v>0</v>
      </c>
      <c r="DN32" s="21">
        <f t="shared" si="101"/>
        <v>0</v>
      </c>
      <c r="DO32" s="21">
        <f t="shared" si="102"/>
        <v>0</v>
      </c>
      <c r="DP32" s="21">
        <f t="shared" si="103"/>
        <v>0</v>
      </c>
      <c r="DQ32" s="21">
        <f t="shared" si="104"/>
        <v>0</v>
      </c>
      <c r="DR32" s="21">
        <f t="shared" si="105"/>
        <v>0</v>
      </c>
      <c r="DS32" s="21">
        <f t="shared" si="106"/>
        <v>0</v>
      </c>
      <c r="DT32" s="21">
        <f t="shared" si="107"/>
        <v>0</v>
      </c>
      <c r="DU32" s="21">
        <f t="shared" si="108"/>
        <v>0</v>
      </c>
      <c r="DV32" s="21">
        <f t="shared" si="109"/>
        <v>0</v>
      </c>
      <c r="DW32" s="16"/>
      <c r="DX32" s="60" t="e">
        <f t="shared" ca="1" si="72"/>
        <v>#NAME?</v>
      </c>
    </row>
    <row r="33" spans="1:128" s="19" customFormat="1" ht="16" customHeight="1">
      <c r="A33" s="18"/>
      <c r="B33" s="17" t="s">
        <v>324</v>
      </c>
      <c r="C33" s="16"/>
      <c r="D33" s="18">
        <v>13</v>
      </c>
      <c r="E33" s="16"/>
      <c r="F33" s="16"/>
      <c r="G33" s="16"/>
      <c r="H33" s="20">
        <f t="shared" si="114"/>
        <v>22</v>
      </c>
      <c r="I33" s="20"/>
      <c r="J33" s="20">
        <v>8</v>
      </c>
      <c r="K33" s="20"/>
      <c r="L33" s="20"/>
      <c r="M33" s="20"/>
      <c r="N33" s="20"/>
      <c r="O33" s="20">
        <f t="shared" si="115"/>
        <v>32</v>
      </c>
      <c r="P33" s="20"/>
      <c r="Q33" s="20"/>
      <c r="R33" s="20"/>
      <c r="S33" s="20"/>
      <c r="T33"/>
      <c r="U33"/>
      <c r="V33"/>
      <c r="W33"/>
      <c r="X33"/>
      <c r="Y33" s="20">
        <f t="shared" si="116"/>
        <v>111</v>
      </c>
      <c r="Z33" s="20">
        <f t="shared" si="117"/>
        <v>46</v>
      </c>
      <c r="AA33" s="16"/>
      <c r="AB33" s="55"/>
      <c r="AC33"/>
      <c r="AD33"/>
      <c r="AE33"/>
      <c r="AF33"/>
      <c r="AG33"/>
      <c r="AH33"/>
      <c r="AI33"/>
      <c r="AJ33"/>
      <c r="AK33"/>
      <c r="AL33"/>
      <c r="AM33"/>
      <c r="AN33"/>
      <c r="AO33"/>
      <c r="AP33"/>
      <c r="AQ33"/>
      <c r="AS33" s="55"/>
      <c r="AT33"/>
      <c r="AU33" s="41"/>
      <c r="AV33" s="16"/>
      <c r="AW33" s="11">
        <f t="shared" si="0"/>
        <v>17.99438713489349</v>
      </c>
      <c r="AX33" s="11">
        <f t="shared" si="1"/>
        <v>0</v>
      </c>
      <c r="AY33" s="11">
        <f t="shared" si="2"/>
        <v>6.2862105584891204</v>
      </c>
      <c r="AZ33" s="11">
        <f t="shared" si="3"/>
        <v>0</v>
      </c>
      <c r="BA33" s="11">
        <f t="shared" si="4"/>
        <v>0</v>
      </c>
      <c r="BB33" s="11">
        <f t="shared" si="5"/>
        <v>0</v>
      </c>
      <c r="BC33" s="11">
        <f t="shared" si="6"/>
        <v>0</v>
      </c>
      <c r="BD33" s="11">
        <f t="shared" si="7"/>
        <v>22.650501533523059</v>
      </c>
      <c r="BE33" s="11">
        <f t="shared" si="8"/>
        <v>0</v>
      </c>
      <c r="BF33" s="11">
        <f t="shared" si="9"/>
        <v>0</v>
      </c>
      <c r="BG33" s="11">
        <f t="shared" si="10"/>
        <v>0</v>
      </c>
      <c r="BH33" s="11">
        <f t="shared" si="11"/>
        <v>0</v>
      </c>
      <c r="BI33" s="11">
        <f t="shared" si="12"/>
        <v>0</v>
      </c>
      <c r="BJ33" s="56">
        <f t="shared" si="13"/>
        <v>0</v>
      </c>
      <c r="BK33" s="11">
        <f t="shared" si="14"/>
        <v>0</v>
      </c>
      <c r="BL33" s="34">
        <f t="shared" si="15"/>
        <v>0</v>
      </c>
      <c r="BM33" s="11">
        <f t="shared" si="16"/>
        <v>0</v>
      </c>
      <c r="BN33" s="11">
        <f t="shared" si="17"/>
        <v>0</v>
      </c>
      <c r="BO33" s="11">
        <f t="shared" si="18"/>
        <v>51.718751951587556</v>
      </c>
      <c r="BP33" s="11">
        <f t="shared" si="19"/>
        <v>1.3501488215067765</v>
      </c>
      <c r="BQ33" s="54"/>
      <c r="BR33" s="56">
        <f t="shared" si="20"/>
        <v>0</v>
      </c>
      <c r="BS33" s="56">
        <f t="shared" si="21"/>
        <v>0</v>
      </c>
      <c r="BT33" s="56">
        <f t="shared" si="22"/>
        <v>0</v>
      </c>
      <c r="BU33" s="56">
        <f t="shared" si="23"/>
        <v>0</v>
      </c>
      <c r="BV33" s="56">
        <f t="shared" si="24"/>
        <v>0</v>
      </c>
      <c r="BW33" s="56">
        <f t="shared" si="25"/>
        <v>0</v>
      </c>
      <c r="BX33" s="56">
        <f t="shared" si="26"/>
        <v>0</v>
      </c>
      <c r="BY33" s="56">
        <f t="shared" si="27"/>
        <v>0</v>
      </c>
      <c r="BZ33" s="56">
        <f t="shared" si="28"/>
        <v>0</v>
      </c>
      <c r="CA33" s="56">
        <f t="shared" si="29"/>
        <v>0</v>
      </c>
      <c r="CB33" s="56">
        <f t="shared" si="30"/>
        <v>0</v>
      </c>
      <c r="CC33" s="56">
        <f t="shared" si="31"/>
        <v>0</v>
      </c>
      <c r="CD33" s="56">
        <f t="shared" si="32"/>
        <v>0</v>
      </c>
      <c r="CE33" s="56">
        <f t="shared" si="33"/>
        <v>0</v>
      </c>
      <c r="CF33" s="56">
        <f t="shared" si="34"/>
        <v>0</v>
      </c>
      <c r="CG33" s="56">
        <f t="shared" si="35"/>
        <v>0</v>
      </c>
      <c r="CH33" s="54"/>
      <c r="CI33" s="11"/>
      <c r="CJ33" s="12">
        <f t="shared" si="73"/>
        <v>100.00000000000001</v>
      </c>
      <c r="CK33" s="16"/>
      <c r="CL33" s="60">
        <f t="shared" si="74"/>
        <v>38.495587205297973</v>
      </c>
      <c r="CM33" s="60">
        <f t="shared" si="75"/>
        <v>0</v>
      </c>
      <c r="CN33" s="60">
        <f t="shared" si="76"/>
        <v>11.877458125410445</v>
      </c>
      <c r="CO33" s="60">
        <f t="shared" si="77"/>
        <v>0</v>
      </c>
      <c r="CP33" s="60">
        <f t="shared" si="78"/>
        <v>0</v>
      </c>
      <c r="CQ33" s="60">
        <f t="shared" si="79"/>
        <v>0</v>
      </c>
      <c r="CR33" s="60">
        <f t="shared" si="80"/>
        <v>0</v>
      </c>
      <c r="CS33" s="60">
        <f t="shared" si="81"/>
        <v>0</v>
      </c>
      <c r="CT33" s="60">
        <f t="shared" si="82"/>
        <v>37.560170832890428</v>
      </c>
      <c r="CU33" s="60">
        <f t="shared" si="83"/>
        <v>0</v>
      </c>
      <c r="CV33" s="60">
        <f t="shared" si="84"/>
        <v>0</v>
      </c>
      <c r="CW33" s="60">
        <f t="shared" si="85"/>
        <v>0</v>
      </c>
      <c r="CX33" s="60">
        <f t="shared" si="86"/>
        <v>0</v>
      </c>
      <c r="CY33" s="60">
        <f t="shared" si="87"/>
        <v>0</v>
      </c>
      <c r="CZ33" s="60">
        <f t="shared" si="88"/>
        <v>0</v>
      </c>
      <c r="DA33" s="60">
        <f t="shared" si="89"/>
        <v>0</v>
      </c>
      <c r="DB33" s="60">
        <f t="shared" si="90"/>
        <v>0</v>
      </c>
      <c r="DC33" s="60">
        <f t="shared" si="91"/>
        <v>0</v>
      </c>
      <c r="DD33" s="60">
        <f t="shared" si="92"/>
        <v>12.066783836401152</v>
      </c>
      <c r="DE33" s="60">
        <f t="shared" si="93"/>
        <v>0</v>
      </c>
      <c r="DF33" s="54"/>
      <c r="DG33" s="21">
        <f t="shared" si="94"/>
        <v>0</v>
      </c>
      <c r="DH33" s="21">
        <f t="shared" si="95"/>
        <v>0</v>
      </c>
      <c r="DI33" s="21">
        <f t="shared" si="96"/>
        <v>0</v>
      </c>
      <c r="DJ33" s="21">
        <f t="shared" si="97"/>
        <v>0</v>
      </c>
      <c r="DK33" s="21">
        <f t="shared" si="98"/>
        <v>0</v>
      </c>
      <c r="DL33" s="21">
        <f t="shared" si="99"/>
        <v>0</v>
      </c>
      <c r="DM33" s="21">
        <f t="shared" si="100"/>
        <v>0</v>
      </c>
      <c r="DN33" s="21">
        <f t="shared" si="101"/>
        <v>0</v>
      </c>
      <c r="DO33" s="21">
        <f t="shared" si="102"/>
        <v>0</v>
      </c>
      <c r="DP33" s="21">
        <f t="shared" si="103"/>
        <v>0</v>
      </c>
      <c r="DQ33" s="21">
        <f t="shared" si="104"/>
        <v>0</v>
      </c>
      <c r="DR33" s="21">
        <f t="shared" si="105"/>
        <v>0</v>
      </c>
      <c r="DS33" s="21">
        <f t="shared" si="106"/>
        <v>0</v>
      </c>
      <c r="DT33" s="21">
        <f t="shared" si="107"/>
        <v>0</v>
      </c>
      <c r="DU33" s="21">
        <f t="shared" si="108"/>
        <v>0</v>
      </c>
      <c r="DV33" s="21">
        <f t="shared" si="109"/>
        <v>0</v>
      </c>
      <c r="DW33" s="16"/>
      <c r="DX33" s="60" t="e">
        <f t="shared" ca="1" si="72"/>
        <v>#NAME?</v>
      </c>
    </row>
    <row r="34" spans="1:128" s="19" customFormat="1" ht="16" customHeight="1">
      <c r="A34" s="18"/>
      <c r="B34" s="17" t="s">
        <v>324</v>
      </c>
      <c r="C34" s="16"/>
      <c r="D34" s="18">
        <v>12</v>
      </c>
      <c r="E34" s="16"/>
      <c r="F34" s="16"/>
      <c r="G34" s="16"/>
      <c r="H34" s="20">
        <f t="shared" si="114"/>
        <v>20</v>
      </c>
      <c r="I34" s="20"/>
      <c r="J34" s="20">
        <v>8</v>
      </c>
      <c r="K34" s="20"/>
      <c r="L34" s="20"/>
      <c r="M34" s="20"/>
      <c r="N34" s="20"/>
      <c r="O34" s="20">
        <f t="shared" si="115"/>
        <v>29</v>
      </c>
      <c r="P34" s="20"/>
      <c r="Q34" s="20"/>
      <c r="R34" s="20"/>
      <c r="S34" s="20"/>
      <c r="T34"/>
      <c r="U34"/>
      <c r="V34"/>
      <c r="W34"/>
      <c r="X34"/>
      <c r="Y34" s="20">
        <f t="shared" si="116"/>
        <v>102</v>
      </c>
      <c r="Z34" s="20">
        <f t="shared" si="117"/>
        <v>42</v>
      </c>
      <c r="AA34" s="16"/>
      <c r="AB34" s="55"/>
      <c r="AC34"/>
      <c r="AD34"/>
      <c r="AE34"/>
      <c r="AF34"/>
      <c r="AG34"/>
      <c r="AH34"/>
      <c r="AI34"/>
      <c r="AJ34"/>
      <c r="AK34"/>
      <c r="AL34"/>
      <c r="AM34"/>
      <c r="AN34"/>
      <c r="AO34"/>
      <c r="AP34"/>
      <c r="AQ34"/>
      <c r="AS34" s="55"/>
      <c r="AT34"/>
      <c r="AU34" s="41"/>
      <c r="AV34" s="16"/>
      <c r="AW34" s="11">
        <f t="shared" si="0"/>
        <v>17.794584188602844</v>
      </c>
      <c r="AX34" s="11">
        <f t="shared" si="1"/>
        <v>0</v>
      </c>
      <c r="AY34" s="11">
        <f t="shared" si="2"/>
        <v>6.8380519096839443</v>
      </c>
      <c r="AZ34" s="11">
        <f t="shared" si="3"/>
        <v>0</v>
      </c>
      <c r="BA34" s="11">
        <f t="shared" si="4"/>
        <v>0</v>
      </c>
      <c r="BB34" s="11">
        <f t="shared" si="5"/>
        <v>0</v>
      </c>
      <c r="BC34" s="11">
        <f t="shared" si="6"/>
        <v>0</v>
      </c>
      <c r="BD34" s="11">
        <f t="shared" si="7"/>
        <v>22.329001962606636</v>
      </c>
      <c r="BE34" s="11">
        <f t="shared" si="8"/>
        <v>0</v>
      </c>
      <c r="BF34" s="11">
        <f t="shared" si="9"/>
        <v>0</v>
      </c>
      <c r="BG34" s="11">
        <f t="shared" si="10"/>
        <v>0</v>
      </c>
      <c r="BH34" s="11">
        <f t="shared" si="11"/>
        <v>0</v>
      </c>
      <c r="BI34" s="11">
        <f t="shared" si="12"/>
        <v>0</v>
      </c>
      <c r="BJ34" s="56">
        <f t="shared" si="13"/>
        <v>0</v>
      </c>
      <c r="BK34" s="11">
        <f t="shared" si="14"/>
        <v>0</v>
      </c>
      <c r="BL34" s="34">
        <f t="shared" si="15"/>
        <v>0</v>
      </c>
      <c r="BM34" s="11">
        <f t="shared" si="16"/>
        <v>0</v>
      </c>
      <c r="BN34" s="11">
        <f t="shared" si="17"/>
        <v>0</v>
      </c>
      <c r="BO34" s="11">
        <f t="shared" si="18"/>
        <v>51.697399633641218</v>
      </c>
      <c r="BP34" s="11">
        <f t="shared" si="19"/>
        <v>1.3409623054653519</v>
      </c>
      <c r="BQ34" s="54"/>
      <c r="BR34" s="56">
        <f t="shared" si="20"/>
        <v>0</v>
      </c>
      <c r="BS34" s="56">
        <f t="shared" si="21"/>
        <v>0</v>
      </c>
      <c r="BT34" s="56">
        <f t="shared" si="22"/>
        <v>0</v>
      </c>
      <c r="BU34" s="56">
        <f t="shared" si="23"/>
        <v>0</v>
      </c>
      <c r="BV34" s="56">
        <f t="shared" si="24"/>
        <v>0</v>
      </c>
      <c r="BW34" s="56">
        <f t="shared" si="25"/>
        <v>0</v>
      </c>
      <c r="BX34" s="56">
        <f t="shared" si="26"/>
        <v>0</v>
      </c>
      <c r="BY34" s="56">
        <f t="shared" si="27"/>
        <v>0</v>
      </c>
      <c r="BZ34" s="56">
        <f t="shared" si="28"/>
        <v>0</v>
      </c>
      <c r="CA34" s="56">
        <f t="shared" si="29"/>
        <v>0</v>
      </c>
      <c r="CB34" s="56">
        <f t="shared" si="30"/>
        <v>0</v>
      </c>
      <c r="CC34" s="56">
        <f t="shared" si="31"/>
        <v>0</v>
      </c>
      <c r="CD34" s="56">
        <f t="shared" si="32"/>
        <v>0</v>
      </c>
      <c r="CE34" s="56">
        <f t="shared" si="33"/>
        <v>0</v>
      </c>
      <c r="CF34" s="56">
        <f t="shared" si="34"/>
        <v>0</v>
      </c>
      <c r="CG34" s="56">
        <f t="shared" si="35"/>
        <v>0</v>
      </c>
      <c r="CH34" s="54"/>
      <c r="CI34" s="11"/>
      <c r="CJ34" s="12">
        <f t="shared" si="73"/>
        <v>100</v>
      </c>
      <c r="CK34" s="16"/>
      <c r="CL34" s="60">
        <f t="shared" si="74"/>
        <v>38.068144919226206</v>
      </c>
      <c r="CM34" s="60">
        <f t="shared" si="75"/>
        <v>0</v>
      </c>
      <c r="CN34" s="60">
        <f t="shared" si="76"/>
        <v>12.920132228577403</v>
      </c>
      <c r="CO34" s="60">
        <f t="shared" si="77"/>
        <v>0</v>
      </c>
      <c r="CP34" s="60">
        <f t="shared" si="78"/>
        <v>0</v>
      </c>
      <c r="CQ34" s="60">
        <f t="shared" si="79"/>
        <v>0</v>
      </c>
      <c r="CR34" s="60">
        <f t="shared" si="80"/>
        <v>0</v>
      </c>
      <c r="CS34" s="60">
        <f t="shared" si="81"/>
        <v>0</v>
      </c>
      <c r="CT34" s="60">
        <f t="shared" si="82"/>
        <v>37.027042866578704</v>
      </c>
      <c r="CU34" s="60">
        <f t="shared" si="83"/>
        <v>0</v>
      </c>
      <c r="CV34" s="60">
        <f t="shared" si="84"/>
        <v>0</v>
      </c>
      <c r="CW34" s="60">
        <f t="shared" si="85"/>
        <v>0</v>
      </c>
      <c r="CX34" s="60">
        <f t="shared" si="86"/>
        <v>0</v>
      </c>
      <c r="CY34" s="60">
        <f t="shared" si="87"/>
        <v>0</v>
      </c>
      <c r="CZ34" s="60">
        <f t="shared" si="88"/>
        <v>0</v>
      </c>
      <c r="DA34" s="60">
        <f t="shared" si="89"/>
        <v>0</v>
      </c>
      <c r="DB34" s="60">
        <f t="shared" si="90"/>
        <v>0</v>
      </c>
      <c r="DC34" s="60">
        <f t="shared" si="91"/>
        <v>0</v>
      </c>
      <c r="DD34" s="60">
        <f t="shared" si="92"/>
        <v>11.984679985617687</v>
      </c>
      <c r="DE34" s="60">
        <f t="shared" si="93"/>
        <v>0</v>
      </c>
      <c r="DF34" s="54"/>
      <c r="DG34" s="21">
        <f t="shared" si="94"/>
        <v>0</v>
      </c>
      <c r="DH34" s="21">
        <f t="shared" si="95"/>
        <v>0</v>
      </c>
      <c r="DI34" s="21">
        <f t="shared" si="96"/>
        <v>0</v>
      </c>
      <c r="DJ34" s="21">
        <f t="shared" si="97"/>
        <v>0</v>
      </c>
      <c r="DK34" s="21">
        <f t="shared" si="98"/>
        <v>0</v>
      </c>
      <c r="DL34" s="21">
        <f t="shared" si="99"/>
        <v>0</v>
      </c>
      <c r="DM34" s="21">
        <f t="shared" si="100"/>
        <v>0</v>
      </c>
      <c r="DN34" s="21">
        <f t="shared" si="101"/>
        <v>0</v>
      </c>
      <c r="DO34" s="21">
        <f t="shared" si="102"/>
        <v>0</v>
      </c>
      <c r="DP34" s="21">
        <f t="shared" si="103"/>
        <v>0</v>
      </c>
      <c r="DQ34" s="21">
        <f t="shared" si="104"/>
        <v>0</v>
      </c>
      <c r="DR34" s="21">
        <f t="shared" si="105"/>
        <v>0</v>
      </c>
      <c r="DS34" s="21">
        <f t="shared" si="106"/>
        <v>0</v>
      </c>
      <c r="DT34" s="21">
        <f t="shared" si="107"/>
        <v>0</v>
      </c>
      <c r="DU34" s="21">
        <f t="shared" si="108"/>
        <v>0</v>
      </c>
      <c r="DV34" s="21">
        <f t="shared" si="109"/>
        <v>0</v>
      </c>
      <c r="DW34" s="16"/>
      <c r="DX34" s="60" t="e">
        <f t="shared" ca="1" si="72"/>
        <v>#NAME?</v>
      </c>
    </row>
    <row r="35" spans="1:128" s="19" customFormat="1" ht="16" customHeight="1">
      <c r="A35" s="18"/>
      <c r="B35" s="17"/>
      <c r="C35" s="16"/>
      <c r="D35" s="16"/>
      <c r="E35" s="16"/>
      <c r="F35" s="16"/>
      <c r="G35" s="16"/>
      <c r="H35" s="20"/>
      <c r="I35" s="20"/>
      <c r="J35" s="20"/>
      <c r="K35" s="20"/>
      <c r="L35" s="20"/>
      <c r="M35" s="20"/>
      <c r="N35" s="20"/>
      <c r="O35" s="20"/>
      <c r="P35" s="20"/>
      <c r="Q35" s="20"/>
      <c r="R35" s="20"/>
      <c r="S35" s="20"/>
      <c r="T35"/>
      <c r="U35"/>
      <c r="V35"/>
      <c r="W35"/>
      <c r="X35"/>
      <c r="Y35"/>
      <c r="Z35" s="16"/>
      <c r="AA35" s="16"/>
      <c r="AB35" s="55"/>
      <c r="AC35"/>
      <c r="AD35"/>
      <c r="AE35"/>
      <c r="AF35"/>
      <c r="AG35"/>
      <c r="AH35"/>
      <c r="AI35"/>
      <c r="AJ35"/>
      <c r="AK35"/>
      <c r="AL35"/>
      <c r="AM35"/>
      <c r="AN35"/>
      <c r="AO35"/>
      <c r="AP35"/>
      <c r="AQ35"/>
      <c r="AS35" s="55"/>
      <c r="AT35"/>
      <c r="AU35" s="41"/>
      <c r="AV35" s="16"/>
      <c r="AW35" s="11"/>
      <c r="AX35" s="11"/>
      <c r="AY35" s="11"/>
      <c r="AZ35" s="11"/>
      <c r="BA35" s="11"/>
      <c r="BB35" s="11"/>
      <c r="BC35" s="11"/>
      <c r="BD35" s="11"/>
      <c r="BE35" s="11"/>
      <c r="BF35" s="11"/>
      <c r="BG35" s="11"/>
      <c r="BH35" s="11"/>
      <c r="BI35" s="11"/>
      <c r="BJ35" s="56"/>
      <c r="BK35" s="11"/>
      <c r="BL35" s="34"/>
      <c r="BM35" s="11"/>
      <c r="BN35" s="11"/>
      <c r="BO35" s="11"/>
      <c r="BP35" s="11"/>
      <c r="BQ35" s="54"/>
      <c r="BR35" s="56"/>
      <c r="BS35" s="56"/>
      <c r="BT35" s="56"/>
      <c r="BU35" s="56"/>
      <c r="BV35" s="56"/>
      <c r="BW35" s="56"/>
      <c r="BX35" s="56"/>
      <c r="BY35" s="56"/>
      <c r="BZ35" s="56"/>
      <c r="CA35" s="56"/>
      <c r="CB35" s="56"/>
      <c r="CC35" s="56"/>
      <c r="CD35" s="56"/>
      <c r="CE35" s="56"/>
      <c r="CF35" s="56"/>
      <c r="CG35" s="56"/>
      <c r="CH35" s="55"/>
      <c r="CI35"/>
      <c r="CJ35" s="12"/>
      <c r="CK35" s="16"/>
      <c r="CL35" s="60"/>
      <c r="CM35" s="60"/>
      <c r="CN35" s="60"/>
      <c r="CO35" s="60"/>
      <c r="CP35" s="60"/>
      <c r="CQ35" s="60"/>
      <c r="CR35" s="60"/>
      <c r="CS35" s="60"/>
      <c r="CT35" s="60"/>
      <c r="CU35" s="60"/>
      <c r="CV35" s="60"/>
      <c r="CW35" s="60"/>
      <c r="CX35" s="60"/>
      <c r="CY35" s="60"/>
      <c r="CZ35" s="60"/>
      <c r="DA35" s="60"/>
      <c r="DB35" s="60"/>
      <c r="DC35" s="60"/>
      <c r="DD35" s="60"/>
      <c r="DE35" s="60"/>
      <c r="DF35" s="54"/>
      <c r="DG35" s="21"/>
      <c r="DH35" s="21"/>
      <c r="DI35" s="21"/>
      <c r="DJ35" s="21"/>
      <c r="DK35" s="21"/>
      <c r="DL35" s="21"/>
      <c r="DM35" s="21"/>
      <c r="DN35" s="21"/>
      <c r="DO35" s="21"/>
      <c r="DP35" s="21"/>
      <c r="DQ35" s="21"/>
      <c r="DR35" s="21"/>
      <c r="DS35" s="21"/>
      <c r="DT35" s="21"/>
      <c r="DU35" s="21"/>
      <c r="DV35" s="21"/>
      <c r="DW35" s="16"/>
      <c r="DX35" s="60"/>
    </row>
    <row r="36" spans="1:128" s="19" customFormat="1" ht="16" customHeight="1">
      <c r="A36" s="18"/>
      <c r="B36" s="17"/>
      <c r="C36" s="16"/>
      <c r="D36" s="16"/>
      <c r="E36" s="16"/>
      <c r="F36" s="16"/>
      <c r="G36" s="16"/>
      <c r="H36" s="20">
        <v>27.37</v>
      </c>
      <c r="I36" s="20"/>
      <c r="J36" s="20">
        <f>1.82</f>
        <v>1.82</v>
      </c>
      <c r="K36" s="20"/>
      <c r="L36" s="20">
        <f>0.71</f>
        <v>0.71</v>
      </c>
      <c r="M36" s="20"/>
      <c r="N36" s="20"/>
      <c r="O36" s="20"/>
      <c r="P36" s="20"/>
      <c r="Q36" s="20"/>
      <c r="R36" s="20"/>
      <c r="S36" s="20">
        <f>1.26</f>
        <v>1.26</v>
      </c>
      <c r="T36" s="20"/>
      <c r="U36" s="20"/>
      <c r="V36" s="20"/>
      <c r="W36" s="20"/>
      <c r="X36" s="20"/>
      <c r="Y36" s="20"/>
      <c r="Z36" s="20"/>
      <c r="AA36" s="20"/>
      <c r="AB36" s="55"/>
      <c r="AC36" s="20"/>
      <c r="AD36" s="20"/>
      <c r="AE36" s="20"/>
      <c r="AF36" s="20"/>
      <c r="AG36" s="20"/>
      <c r="AH36" s="20">
        <f>33.09</f>
        <v>33.090000000000003</v>
      </c>
      <c r="AI36" s="20"/>
      <c r="AJ36" s="20">
        <f>35.75</f>
        <v>35.75</v>
      </c>
      <c r="AK36" s="20"/>
      <c r="AL36" s="20"/>
      <c r="AM36" s="20"/>
      <c r="AN36" s="20"/>
      <c r="AO36" s="20"/>
      <c r="AP36" s="20"/>
      <c r="AQ36" s="20"/>
      <c r="AS36" s="55"/>
      <c r="AT36" s="20"/>
      <c r="AU36" s="20">
        <v>0</v>
      </c>
      <c r="AV36" s="20"/>
      <c r="AW36" s="11">
        <f t="shared" si="0"/>
        <v>6.4130201967367872</v>
      </c>
      <c r="AX36" s="11">
        <f t="shared" si="1"/>
        <v>0</v>
      </c>
      <c r="AY36" s="11">
        <f t="shared" si="2"/>
        <v>0.40967905030196877</v>
      </c>
      <c r="AZ36" s="11">
        <f t="shared" si="3"/>
        <v>0</v>
      </c>
      <c r="BA36" s="11">
        <f t="shared" si="4"/>
        <v>0.3307868940983128</v>
      </c>
      <c r="BB36" s="11">
        <f t="shared" si="5"/>
        <v>0</v>
      </c>
      <c r="BC36" s="11">
        <f t="shared" si="6"/>
        <v>0</v>
      </c>
      <c r="BD36" s="11">
        <f t="shared" si="7"/>
        <v>0</v>
      </c>
      <c r="BE36" s="11">
        <f t="shared" si="8"/>
        <v>0</v>
      </c>
      <c r="BF36" s="11">
        <f t="shared" si="9"/>
        <v>0</v>
      </c>
      <c r="BG36" s="11">
        <f t="shared" si="10"/>
        <v>0</v>
      </c>
      <c r="BH36" s="11">
        <f t="shared" si="11"/>
        <v>0.24166335637926581</v>
      </c>
      <c r="BI36" s="11">
        <f t="shared" si="12"/>
        <v>0</v>
      </c>
      <c r="BJ36" s="56">
        <f t="shared" si="13"/>
        <v>0</v>
      </c>
      <c r="BK36" s="11">
        <f t="shared" si="14"/>
        <v>0</v>
      </c>
      <c r="BL36" s="34">
        <f t="shared" si="15"/>
        <v>0</v>
      </c>
      <c r="BM36" s="11">
        <f t="shared" si="16"/>
        <v>0</v>
      </c>
      <c r="BN36" s="11">
        <f t="shared" si="17"/>
        <v>0</v>
      </c>
      <c r="BO36" s="11">
        <f t="shared" si="18"/>
        <v>0</v>
      </c>
      <c r="BP36" s="11">
        <f t="shared" si="19"/>
        <v>0</v>
      </c>
      <c r="BQ36" s="54"/>
      <c r="BR36" s="56">
        <f t="shared" si="20"/>
        <v>0</v>
      </c>
      <c r="BS36" s="56">
        <f t="shared" si="21"/>
        <v>0</v>
      </c>
      <c r="BT36" s="56">
        <f t="shared" si="22"/>
        <v>0</v>
      </c>
      <c r="BU36" s="56">
        <f t="shared" si="23"/>
        <v>0</v>
      </c>
      <c r="BV36" s="56">
        <f t="shared" si="24"/>
        <v>0</v>
      </c>
      <c r="BW36" s="56">
        <f t="shared" si="25"/>
        <v>57.199491577865018</v>
      </c>
      <c r="BX36" s="56">
        <f t="shared" si="26"/>
        <v>0</v>
      </c>
      <c r="BY36" s="56">
        <f>AJ36*118.71*100/(H36*28.0855+I36*47.867+J36*26.981539+K36*51.9961+L36*55.845+M36*55.845+N36*54.938044+O36*24.305+P36*58.6934+Q36*65.38+R36*40.078+S36*22.989769+T36*39.0983+U36*30.973762+AC36*58.933195+AD36*63.546+AE36*9.012182+AF36*137.327+AG36*87.62+AH36*207.2+AI36*50.9415+AJ36*118.71+AK36*91.224+AL36*88.90585+AM36*95.95+AN36*183.84+AO36*74.9216+W36*18.9984+X36*35.453+Y36*15.999+V36*32.065+Z36*1.00784+AA36*12.011+AP36*78.96+AQ36*121.75+AR36*127.6)</f>
        <v>35.405358924618646</v>
      </c>
      <c r="BZ36" s="56">
        <f t="shared" si="28"/>
        <v>0</v>
      </c>
      <c r="CA36" s="56">
        <f t="shared" si="29"/>
        <v>0</v>
      </c>
      <c r="CB36" s="56">
        <f t="shared" si="30"/>
        <v>0</v>
      </c>
      <c r="CC36" s="56">
        <f t="shared" si="31"/>
        <v>0</v>
      </c>
      <c r="CD36" s="56">
        <f t="shared" si="32"/>
        <v>0</v>
      </c>
      <c r="CE36" s="56">
        <f t="shared" si="33"/>
        <v>0</v>
      </c>
      <c r="CF36" s="56">
        <f t="shared" si="34"/>
        <v>0</v>
      </c>
      <c r="CG36" s="56">
        <f t="shared" si="35"/>
        <v>0</v>
      </c>
      <c r="CH36" s="54"/>
      <c r="CI36" s="11"/>
      <c r="CJ36" s="12">
        <f t="shared" si="73"/>
        <v>100</v>
      </c>
      <c r="CK36" s="16"/>
      <c r="CL36" s="60">
        <f t="shared" si="74"/>
        <v>11.263837443253692</v>
      </c>
      <c r="CM36" s="60">
        <f t="shared" si="75"/>
        <v>0</v>
      </c>
      <c r="CN36" s="60">
        <f t="shared" si="76"/>
        <v>0.63551852999026703</v>
      </c>
      <c r="CO36" s="60">
        <f t="shared" si="77"/>
        <v>0</v>
      </c>
      <c r="CP36" s="60">
        <f t="shared" si="78"/>
        <v>0</v>
      </c>
      <c r="CQ36" s="60">
        <f t="shared" si="79"/>
        <v>0.34938285734031171</v>
      </c>
      <c r="CR36" s="60">
        <f t="shared" si="80"/>
        <v>0.34938285734031171</v>
      </c>
      <c r="CS36" s="60">
        <f t="shared" si="81"/>
        <v>0</v>
      </c>
      <c r="CT36" s="60">
        <f t="shared" si="82"/>
        <v>0</v>
      </c>
      <c r="CU36" s="60">
        <f t="shared" si="83"/>
        <v>0</v>
      </c>
      <c r="CV36" s="60">
        <f t="shared" si="84"/>
        <v>0</v>
      </c>
      <c r="CW36" s="60">
        <f t="shared" si="85"/>
        <v>0</v>
      </c>
      <c r="CX36" s="60">
        <f t="shared" si="86"/>
        <v>0.26744707571628135</v>
      </c>
      <c r="CY36" s="60">
        <f t="shared" si="87"/>
        <v>0</v>
      </c>
      <c r="CZ36" s="60">
        <f t="shared" si="88"/>
        <v>0</v>
      </c>
      <c r="DA36" s="60">
        <f t="shared" si="89"/>
        <v>0</v>
      </c>
      <c r="DB36" s="60">
        <f t="shared" si="90"/>
        <v>0</v>
      </c>
      <c r="DC36" s="60">
        <f t="shared" si="91"/>
        <v>0</v>
      </c>
      <c r="DD36" s="60">
        <f t="shared" si="92"/>
        <v>0</v>
      </c>
      <c r="DE36" s="60">
        <f t="shared" si="93"/>
        <v>0</v>
      </c>
      <c r="DF36" s="54"/>
      <c r="DG36" s="21">
        <f t="shared" si="94"/>
        <v>0</v>
      </c>
      <c r="DH36" s="21">
        <f t="shared" si="95"/>
        <v>0</v>
      </c>
      <c r="DI36" s="21">
        <f t="shared" si="96"/>
        <v>0</v>
      </c>
      <c r="DJ36" s="21">
        <f t="shared" si="97"/>
        <v>0</v>
      </c>
      <c r="DK36" s="21">
        <f t="shared" si="98"/>
        <v>0</v>
      </c>
      <c r="DL36" s="21">
        <f t="shared" si="99"/>
        <v>50.585176049225275</v>
      </c>
      <c r="DM36" s="21">
        <f t="shared" si="100"/>
        <v>0</v>
      </c>
      <c r="DN36" s="21">
        <f t="shared" si="101"/>
        <v>36.898638044474176</v>
      </c>
      <c r="DO36" s="21">
        <f t="shared" si="102"/>
        <v>0</v>
      </c>
      <c r="DP36" s="21">
        <f t="shared" si="103"/>
        <v>0</v>
      </c>
      <c r="DQ36" s="21">
        <f t="shared" si="104"/>
        <v>0</v>
      </c>
      <c r="DR36" s="21">
        <f t="shared" si="105"/>
        <v>0</v>
      </c>
      <c r="DS36" s="21">
        <f t="shared" si="106"/>
        <v>0</v>
      </c>
      <c r="DT36" s="21">
        <f t="shared" si="107"/>
        <v>0</v>
      </c>
      <c r="DU36" s="21">
        <f t="shared" si="108"/>
        <v>0</v>
      </c>
      <c r="DV36" s="21">
        <f t="shared" si="109"/>
        <v>0</v>
      </c>
      <c r="DW36" s="16"/>
      <c r="DX36" s="60" t="e">
        <f t="shared" ca="1" si="72"/>
        <v>#NAME?</v>
      </c>
    </row>
    <row r="37" spans="1:128" s="19" customFormat="1" ht="16" customHeight="1">
      <c r="A37" s="18"/>
      <c r="B37" s="17" t="s">
        <v>408</v>
      </c>
      <c r="C37" s="16"/>
      <c r="D37" s="16"/>
      <c r="E37" s="16"/>
      <c r="F37" s="16"/>
      <c r="G37" s="16"/>
      <c r="H37" s="20"/>
      <c r="I37" s="20"/>
      <c r="J37" s="20"/>
      <c r="K37" s="20"/>
      <c r="L37" s="20"/>
      <c r="M37" s="20"/>
      <c r="N37" s="20"/>
      <c r="O37" s="20"/>
      <c r="P37" s="20"/>
      <c r="Q37" s="20"/>
      <c r="R37" s="20"/>
      <c r="S37" s="20"/>
      <c r="T37" s="20"/>
      <c r="U37" s="20">
        <v>3</v>
      </c>
      <c r="V37" s="20"/>
      <c r="W37" s="20"/>
      <c r="X37" s="20">
        <v>1</v>
      </c>
      <c r="Y37" s="20">
        <v>12</v>
      </c>
      <c r="Z37" s="20"/>
      <c r="AA37" s="20"/>
      <c r="AB37" s="55"/>
      <c r="AC37" s="20"/>
      <c r="AD37" s="20"/>
      <c r="AE37" s="20"/>
      <c r="AF37" s="20"/>
      <c r="AG37" s="20"/>
      <c r="AH37" s="20">
        <v>5</v>
      </c>
      <c r="AI37" s="20"/>
      <c r="AJ37" s="20"/>
      <c r="AK37" s="20"/>
      <c r="AL37" s="20"/>
      <c r="AM37" s="20"/>
      <c r="AN37" s="20"/>
      <c r="AO37" s="20"/>
      <c r="AP37" s="20"/>
      <c r="AQ37" s="20"/>
      <c r="AS37" s="55"/>
      <c r="AT37" s="20"/>
      <c r="AU37" s="20">
        <v>0</v>
      </c>
      <c r="AV37" s="20"/>
      <c r="AW37" s="11">
        <f t="shared" si="0"/>
        <v>0</v>
      </c>
      <c r="AX37" s="11">
        <f t="shared" si="1"/>
        <v>0</v>
      </c>
      <c r="AY37" s="11">
        <f t="shared" si="2"/>
        <v>0</v>
      </c>
      <c r="AZ37" s="11">
        <f t="shared" si="3"/>
        <v>0</v>
      </c>
      <c r="BA37" s="11">
        <f t="shared" si="4"/>
        <v>0</v>
      </c>
      <c r="BB37" s="11">
        <f t="shared" si="5"/>
        <v>0</v>
      </c>
      <c r="BC37" s="11">
        <f t="shared" si="6"/>
        <v>0</v>
      </c>
      <c r="BD37" s="11">
        <f t="shared" si="7"/>
        <v>0</v>
      </c>
      <c r="BE37" s="11">
        <f t="shared" si="8"/>
        <v>0</v>
      </c>
      <c r="BF37" s="11">
        <f t="shared" si="9"/>
        <v>0</v>
      </c>
      <c r="BG37" s="11">
        <f t="shared" si="10"/>
        <v>0</v>
      </c>
      <c r="BH37" s="11">
        <f t="shared" si="11"/>
        <v>0</v>
      </c>
      <c r="BI37" s="11">
        <f t="shared" si="12"/>
        <v>0</v>
      </c>
      <c r="BJ37" s="56">
        <f t="shared" si="13"/>
        <v>6.8507718740861536</v>
      </c>
      <c r="BK37" s="11">
        <f t="shared" si="14"/>
        <v>0</v>
      </c>
      <c r="BL37" s="34">
        <f t="shared" si="15"/>
        <v>0</v>
      </c>
      <c r="BM37" s="11">
        <f t="shared" si="16"/>
        <v>2.6138296800151521</v>
      </c>
      <c r="BN37" s="11">
        <f t="shared" si="17"/>
        <v>0</v>
      </c>
      <c r="BO37" s="11">
        <f t="shared" si="18"/>
        <v>14.154625352064675</v>
      </c>
      <c r="BP37" s="11">
        <f t="shared" si="19"/>
        <v>0</v>
      </c>
      <c r="BQ37" s="54"/>
      <c r="BR37" s="56">
        <f t="shared" si="20"/>
        <v>0</v>
      </c>
      <c r="BS37" s="56">
        <f t="shared" si="21"/>
        <v>0</v>
      </c>
      <c r="BT37" s="56">
        <f t="shared" si="22"/>
        <v>0</v>
      </c>
      <c r="BU37" s="56">
        <f t="shared" si="23"/>
        <v>0</v>
      </c>
      <c r="BV37" s="56">
        <f t="shared" si="24"/>
        <v>0</v>
      </c>
      <c r="BW37" s="56">
        <f t="shared" si="25"/>
        <v>76.380773093834009</v>
      </c>
      <c r="BX37" s="56">
        <f t="shared" si="26"/>
        <v>0</v>
      </c>
      <c r="BY37" s="56">
        <f t="shared" ref="BY37:BY43" si="118">AJ37*118.71*100/(H37*28.0855+I37*47.867+J37*26.981539+K37*51.9961+L37*55.845+M37*55.845+N37*54.938044+O37*24.305+P37*58.6934+Q37*65.38+R37*40.078+S37*22.989769+T37*39.0983+U37*30.973762+AC37*58.933195+AD37*63.546+AE37*9.012182+AF37*137.327+AG37*87.62+AH37*207.2+AI37*50.9415+AJ37*118.71+AK37*91.224+AL37*88.90585+AM37*95.95+AN37*183.84+AO37*74.9216+W37*18.9984+X37*35.453+Y37*15.999+V37*32.065+Z37*1.00784+AA37*12.011+AP37*78.96+AQ37*121.75+AR37*127.6)</f>
        <v>0</v>
      </c>
      <c r="BZ37" s="56">
        <f t="shared" si="28"/>
        <v>0</v>
      </c>
      <c r="CA37" s="56">
        <f t="shared" si="29"/>
        <v>0</v>
      </c>
      <c r="CB37" s="56">
        <f t="shared" si="30"/>
        <v>0</v>
      </c>
      <c r="CC37" s="56">
        <f t="shared" si="31"/>
        <v>0</v>
      </c>
      <c r="CD37" s="56">
        <f t="shared" si="32"/>
        <v>0</v>
      </c>
      <c r="CE37" s="56">
        <f t="shared" si="33"/>
        <v>0</v>
      </c>
      <c r="CF37" s="56">
        <f t="shared" si="34"/>
        <v>0</v>
      </c>
      <c r="CG37" s="56">
        <f t="shared" si="35"/>
        <v>0</v>
      </c>
      <c r="CH37" s="54"/>
      <c r="CI37" s="11"/>
      <c r="CJ37" s="12">
        <f t="shared" si="73"/>
        <v>99.999999999999986</v>
      </c>
      <c r="CK37" s="16"/>
      <c r="CL37" s="60">
        <f t="shared" si="74"/>
        <v>0</v>
      </c>
      <c r="CM37" s="60">
        <f t="shared" si="75"/>
        <v>0</v>
      </c>
      <c r="CN37" s="60">
        <f t="shared" si="76"/>
        <v>0</v>
      </c>
      <c r="CO37" s="60">
        <f t="shared" si="77"/>
        <v>0</v>
      </c>
      <c r="CP37" s="60">
        <f t="shared" si="78"/>
        <v>0</v>
      </c>
      <c r="CQ37" s="60">
        <f t="shared" si="79"/>
        <v>0</v>
      </c>
      <c r="CR37" s="60">
        <f t="shared" si="80"/>
        <v>0</v>
      </c>
      <c r="CS37" s="60">
        <f t="shared" si="81"/>
        <v>0</v>
      </c>
      <c r="CT37" s="60">
        <f t="shared" si="82"/>
        <v>0</v>
      </c>
      <c r="CU37" s="60">
        <f t="shared" si="83"/>
        <v>0</v>
      </c>
      <c r="CV37" s="60">
        <f t="shared" si="84"/>
        <v>0</v>
      </c>
      <c r="CW37" s="60">
        <f t="shared" si="85"/>
        <v>0</v>
      </c>
      <c r="CX37" s="60">
        <f t="shared" si="86"/>
        <v>0</v>
      </c>
      <c r="CY37" s="60">
        <f t="shared" si="87"/>
        <v>0</v>
      </c>
      <c r="CZ37" s="60">
        <f t="shared" si="88"/>
        <v>15.605685069491146</v>
      </c>
      <c r="DA37" s="60">
        <f t="shared" si="89"/>
        <v>0</v>
      </c>
      <c r="DB37" s="60">
        <f t="shared" si="90"/>
        <v>0</v>
      </c>
      <c r="DC37" s="60">
        <f t="shared" si="91"/>
        <v>2.598602004455731</v>
      </c>
      <c r="DD37" s="60">
        <f t="shared" si="92"/>
        <v>0</v>
      </c>
      <c r="DE37" s="60">
        <f t="shared" si="93"/>
        <v>0</v>
      </c>
      <c r="DF37" s="54"/>
      <c r="DG37" s="21">
        <f t="shared" si="94"/>
        <v>0</v>
      </c>
      <c r="DH37" s="21">
        <f t="shared" si="95"/>
        <v>0</v>
      </c>
      <c r="DI37" s="21">
        <f t="shared" si="96"/>
        <v>0</v>
      </c>
      <c r="DJ37" s="21">
        <f t="shared" si="97"/>
        <v>0</v>
      </c>
      <c r="DK37" s="21">
        <f t="shared" si="98"/>
        <v>0</v>
      </c>
      <c r="DL37" s="21">
        <f t="shared" si="99"/>
        <v>81.795712926053127</v>
      </c>
      <c r="DM37" s="21">
        <f t="shared" si="100"/>
        <v>0</v>
      </c>
      <c r="DN37" s="21">
        <f t="shared" si="101"/>
        <v>0</v>
      </c>
      <c r="DO37" s="21">
        <f t="shared" si="102"/>
        <v>0</v>
      </c>
      <c r="DP37" s="21">
        <f t="shared" si="103"/>
        <v>0</v>
      </c>
      <c r="DQ37" s="21">
        <f t="shared" si="104"/>
        <v>0</v>
      </c>
      <c r="DR37" s="21">
        <f t="shared" si="105"/>
        <v>0</v>
      </c>
      <c r="DS37" s="21">
        <f t="shared" si="106"/>
        <v>0</v>
      </c>
      <c r="DT37" s="21">
        <f t="shared" si="107"/>
        <v>0</v>
      </c>
      <c r="DU37" s="21">
        <f t="shared" si="108"/>
        <v>0</v>
      </c>
      <c r="DV37" s="21">
        <f t="shared" si="109"/>
        <v>0</v>
      </c>
      <c r="DW37" s="16"/>
      <c r="DX37" s="60" t="e">
        <f t="shared" ca="1" si="72"/>
        <v>#NAME?</v>
      </c>
    </row>
    <row r="38" spans="1:128" s="19" customFormat="1" ht="16" customHeight="1">
      <c r="A38" s="18"/>
      <c r="B38" s="17"/>
      <c r="C38" s="16"/>
      <c r="D38" s="16"/>
      <c r="E38" s="16"/>
      <c r="F38" s="16"/>
      <c r="G38" s="16"/>
      <c r="H38" s="20"/>
      <c r="I38" s="20"/>
      <c r="J38" s="20"/>
      <c r="K38" s="20"/>
      <c r="L38" s="20"/>
      <c r="M38" s="20"/>
      <c r="N38" s="20"/>
      <c r="O38" s="20"/>
      <c r="P38" s="20"/>
      <c r="Q38" s="20"/>
      <c r="R38" s="20"/>
      <c r="S38" s="20"/>
      <c r="T38" s="20"/>
      <c r="U38" s="20"/>
      <c r="V38" s="20"/>
      <c r="W38" s="20"/>
      <c r="X38" s="20"/>
      <c r="Y38" s="20">
        <v>17.96</v>
      </c>
      <c r="Z38" s="20"/>
      <c r="AA38" s="20">
        <v>4.49</v>
      </c>
      <c r="AB38" s="55"/>
      <c r="AC38" s="20"/>
      <c r="AD38" s="20"/>
      <c r="AE38" s="20"/>
      <c r="AF38" s="20"/>
      <c r="AG38" s="20"/>
      <c r="AH38" s="20">
        <v>77.540000000000006</v>
      </c>
      <c r="AI38" s="20"/>
      <c r="AJ38" s="20"/>
      <c r="AK38" s="20"/>
      <c r="AL38" s="20"/>
      <c r="AM38" s="20"/>
      <c r="AN38" s="20"/>
      <c r="AO38" s="20"/>
      <c r="AP38" s="20"/>
      <c r="AQ38" s="20"/>
      <c r="AS38" s="55"/>
      <c r="AT38" s="20"/>
      <c r="AU38" s="20">
        <v>0</v>
      </c>
      <c r="AV38" s="20"/>
      <c r="AW38" s="11">
        <f t="shared" si="0"/>
        <v>0</v>
      </c>
      <c r="AX38" s="11">
        <f t="shared" si="1"/>
        <v>0</v>
      </c>
      <c r="AY38" s="11">
        <f t="shared" si="2"/>
        <v>0</v>
      </c>
      <c r="AZ38" s="11">
        <f t="shared" si="3"/>
        <v>0</v>
      </c>
      <c r="BA38" s="11">
        <f t="shared" si="4"/>
        <v>0</v>
      </c>
      <c r="BB38" s="11">
        <f t="shared" si="5"/>
        <v>0</v>
      </c>
      <c r="BC38" s="11">
        <f t="shared" si="6"/>
        <v>0</v>
      </c>
      <c r="BD38" s="11">
        <f t="shared" si="7"/>
        <v>0</v>
      </c>
      <c r="BE38" s="11">
        <f t="shared" si="8"/>
        <v>0</v>
      </c>
      <c r="BF38" s="11">
        <f t="shared" si="9"/>
        <v>0</v>
      </c>
      <c r="BG38" s="11">
        <f t="shared" si="10"/>
        <v>0</v>
      </c>
      <c r="BH38" s="11">
        <f t="shared" si="11"/>
        <v>0</v>
      </c>
      <c r="BI38" s="11">
        <f t="shared" si="12"/>
        <v>0</v>
      </c>
      <c r="BJ38" s="56">
        <f t="shared" si="13"/>
        <v>0</v>
      </c>
      <c r="BK38" s="11">
        <f t="shared" si="14"/>
        <v>0</v>
      </c>
      <c r="BL38" s="34">
        <f t="shared" si="15"/>
        <v>0</v>
      </c>
      <c r="BM38" s="11">
        <f t="shared" si="16"/>
        <v>0</v>
      </c>
      <c r="BN38" s="11">
        <f t="shared" si="17"/>
        <v>0.32868623898685456</v>
      </c>
      <c r="BO38" s="11">
        <f t="shared" si="18"/>
        <v>1.7512783740073885</v>
      </c>
      <c r="BP38" s="11">
        <f t="shared" si="19"/>
        <v>0</v>
      </c>
      <c r="BQ38" s="54"/>
      <c r="BR38" s="56">
        <f t="shared" si="20"/>
        <v>0</v>
      </c>
      <c r="BS38" s="56">
        <f t="shared" si="21"/>
        <v>0</v>
      </c>
      <c r="BT38" s="56">
        <f t="shared" si="22"/>
        <v>0</v>
      </c>
      <c r="BU38" s="56">
        <f t="shared" si="23"/>
        <v>0</v>
      </c>
      <c r="BV38" s="56">
        <f t="shared" si="24"/>
        <v>0</v>
      </c>
      <c r="BW38" s="56">
        <f t="shared" si="25"/>
        <v>97.920035387005754</v>
      </c>
      <c r="BX38" s="56">
        <f t="shared" si="26"/>
        <v>0</v>
      </c>
      <c r="BY38" s="56">
        <f t="shared" si="118"/>
        <v>0</v>
      </c>
      <c r="BZ38" s="56">
        <f t="shared" si="28"/>
        <v>0</v>
      </c>
      <c r="CA38" s="56">
        <f t="shared" si="29"/>
        <v>0</v>
      </c>
      <c r="CB38" s="56">
        <f t="shared" si="30"/>
        <v>0</v>
      </c>
      <c r="CC38" s="56">
        <f t="shared" si="31"/>
        <v>0</v>
      </c>
      <c r="CD38" s="56">
        <f t="shared" si="32"/>
        <v>0</v>
      </c>
      <c r="CE38" s="56">
        <f t="shared" si="33"/>
        <v>0</v>
      </c>
      <c r="CF38" s="56">
        <f t="shared" si="34"/>
        <v>0</v>
      </c>
      <c r="CG38" s="56">
        <f t="shared" si="35"/>
        <v>0</v>
      </c>
      <c r="CH38" s="54"/>
      <c r="CI38" s="11"/>
      <c r="CJ38" s="12">
        <f t="shared" si="73"/>
        <v>100</v>
      </c>
      <c r="CK38" s="16"/>
      <c r="CL38" s="60">
        <f t="shared" si="74"/>
        <v>0</v>
      </c>
      <c r="CM38" s="60">
        <f t="shared" si="75"/>
        <v>0</v>
      </c>
      <c r="CN38" s="60">
        <f t="shared" si="76"/>
        <v>0</v>
      </c>
      <c r="CO38" s="60">
        <f t="shared" si="77"/>
        <v>0</v>
      </c>
      <c r="CP38" s="60">
        <f t="shared" si="78"/>
        <v>0</v>
      </c>
      <c r="CQ38" s="60">
        <f t="shared" si="79"/>
        <v>0</v>
      </c>
      <c r="CR38" s="60">
        <f t="shared" si="80"/>
        <v>0</v>
      </c>
      <c r="CS38" s="60">
        <f t="shared" si="81"/>
        <v>0</v>
      </c>
      <c r="CT38" s="60">
        <f t="shared" si="82"/>
        <v>0</v>
      </c>
      <c r="CU38" s="60">
        <f t="shared" si="83"/>
        <v>0</v>
      </c>
      <c r="CV38" s="60">
        <f t="shared" si="84"/>
        <v>0</v>
      </c>
      <c r="CW38" s="60">
        <f t="shared" si="85"/>
        <v>0</v>
      </c>
      <c r="CX38" s="60">
        <f t="shared" si="86"/>
        <v>0</v>
      </c>
      <c r="CY38" s="60">
        <f t="shared" si="87"/>
        <v>0</v>
      </c>
      <c r="CZ38" s="60">
        <f t="shared" si="88"/>
        <v>0</v>
      </c>
      <c r="DA38" s="60">
        <f t="shared" si="89"/>
        <v>0</v>
      </c>
      <c r="DB38" s="60">
        <f t="shared" si="90"/>
        <v>0</v>
      </c>
      <c r="DC38" s="60">
        <f t="shared" si="91"/>
        <v>0</v>
      </c>
      <c r="DD38" s="60">
        <f t="shared" si="92"/>
        <v>0</v>
      </c>
      <c r="DE38" s="60">
        <f t="shared" si="93"/>
        <v>1.1289309606039355</v>
      </c>
      <c r="DF38" s="54"/>
      <c r="DG38" s="21">
        <f t="shared" si="94"/>
        <v>0</v>
      </c>
      <c r="DH38" s="21">
        <f t="shared" si="95"/>
        <v>0</v>
      </c>
      <c r="DI38" s="21">
        <f t="shared" si="96"/>
        <v>0</v>
      </c>
      <c r="DJ38" s="21">
        <f t="shared" si="97"/>
        <v>0</v>
      </c>
      <c r="DK38" s="21">
        <f t="shared" si="98"/>
        <v>0</v>
      </c>
      <c r="DL38" s="21">
        <f t="shared" si="99"/>
        <v>98.871069039396076</v>
      </c>
      <c r="DM38" s="21">
        <f t="shared" si="100"/>
        <v>0</v>
      </c>
      <c r="DN38" s="21">
        <f t="shared" si="101"/>
        <v>0</v>
      </c>
      <c r="DO38" s="21">
        <f t="shared" si="102"/>
        <v>0</v>
      </c>
      <c r="DP38" s="21">
        <f t="shared" si="103"/>
        <v>0</v>
      </c>
      <c r="DQ38" s="21">
        <f t="shared" si="104"/>
        <v>0</v>
      </c>
      <c r="DR38" s="21">
        <f t="shared" si="105"/>
        <v>0</v>
      </c>
      <c r="DS38" s="21">
        <f t="shared" si="106"/>
        <v>0</v>
      </c>
      <c r="DT38" s="21">
        <f t="shared" si="107"/>
        <v>0</v>
      </c>
      <c r="DU38" s="21">
        <f t="shared" si="108"/>
        <v>0</v>
      </c>
      <c r="DV38" s="21">
        <f t="shared" si="109"/>
        <v>0</v>
      </c>
      <c r="DW38" s="16"/>
      <c r="DX38" s="60" t="e">
        <f t="shared" ca="1" si="72"/>
        <v>#NAME?</v>
      </c>
    </row>
    <row r="39" spans="1:128" s="19" customFormat="1" ht="16" customHeight="1">
      <c r="A39" s="18"/>
      <c r="B39" s="17"/>
      <c r="C39" s="16"/>
      <c r="D39" s="16"/>
      <c r="E39" s="16"/>
      <c r="F39" s="16"/>
      <c r="G39" s="16"/>
      <c r="H39" s="20"/>
      <c r="I39" s="20"/>
      <c r="J39" s="20"/>
      <c r="K39" s="20"/>
      <c r="L39" s="20"/>
      <c r="M39" s="20"/>
      <c r="N39" s="20"/>
      <c r="O39" s="20"/>
      <c r="P39" s="20"/>
      <c r="Q39" s="20"/>
      <c r="R39" s="20">
        <v>1</v>
      </c>
      <c r="S39" s="20"/>
      <c r="T39" s="20"/>
      <c r="U39" s="20"/>
      <c r="V39" s="20"/>
      <c r="W39" s="20"/>
      <c r="X39" s="20"/>
      <c r="Y39" s="20">
        <v>3</v>
      </c>
      <c r="Z39" s="20"/>
      <c r="AA39" s="20">
        <v>1</v>
      </c>
      <c r="AB39" s="55"/>
      <c r="AC39" s="20"/>
      <c r="AD39" s="20"/>
      <c r="AE39" s="20"/>
      <c r="AF39" s="20"/>
      <c r="AG39" s="20"/>
      <c r="AH39" s="20"/>
      <c r="AI39" s="20"/>
      <c r="AJ39" s="20"/>
      <c r="AK39" s="20"/>
      <c r="AL39" s="20"/>
      <c r="AM39" s="20"/>
      <c r="AN39" s="20"/>
      <c r="AO39" s="20"/>
      <c r="AP39" s="20"/>
      <c r="AQ39" s="20"/>
      <c r="AS39" s="55"/>
      <c r="AT39" s="20"/>
      <c r="AU39" s="20">
        <v>0</v>
      </c>
      <c r="AV39" s="20"/>
      <c r="AW39" s="11">
        <f t="shared" si="0"/>
        <v>0</v>
      </c>
      <c r="AX39" s="11">
        <f t="shared" si="1"/>
        <v>0</v>
      </c>
      <c r="AY39" s="11">
        <f t="shared" si="2"/>
        <v>0</v>
      </c>
      <c r="AZ39" s="11">
        <f t="shared" si="3"/>
        <v>0</v>
      </c>
      <c r="BA39" s="11">
        <f t="shared" si="4"/>
        <v>0</v>
      </c>
      <c r="BB39" s="11">
        <f t="shared" si="5"/>
        <v>0</v>
      </c>
      <c r="BC39" s="11">
        <f t="shared" si="6"/>
        <v>0</v>
      </c>
      <c r="BD39" s="11">
        <f t="shared" si="7"/>
        <v>0</v>
      </c>
      <c r="BE39" s="11">
        <f t="shared" si="8"/>
        <v>0</v>
      </c>
      <c r="BF39" s="11">
        <f t="shared" si="9"/>
        <v>0</v>
      </c>
      <c r="BG39" s="11">
        <f t="shared" si="10"/>
        <v>40.043562536218857</v>
      </c>
      <c r="BH39" s="11">
        <f t="shared" si="11"/>
        <v>0</v>
      </c>
      <c r="BI39" s="11">
        <f t="shared" si="12"/>
        <v>0</v>
      </c>
      <c r="BJ39" s="56">
        <f t="shared" si="13"/>
        <v>0</v>
      </c>
      <c r="BK39" s="11">
        <f t="shared" si="14"/>
        <v>0</v>
      </c>
      <c r="BL39" s="34">
        <f t="shared" si="15"/>
        <v>0</v>
      </c>
      <c r="BM39" s="11">
        <f t="shared" si="16"/>
        <v>0</v>
      </c>
      <c r="BN39" s="11">
        <f t="shared" si="17"/>
        <v>12.000679415702495</v>
      </c>
      <c r="BO39" s="11">
        <f t="shared" si="18"/>
        <v>47.95575804807865</v>
      </c>
      <c r="BP39" s="11">
        <f t="shared" si="19"/>
        <v>0</v>
      </c>
      <c r="BQ39" s="54"/>
      <c r="BR39" s="56">
        <f t="shared" si="20"/>
        <v>0</v>
      </c>
      <c r="BS39" s="56">
        <f t="shared" si="21"/>
        <v>0</v>
      </c>
      <c r="BT39" s="56">
        <f t="shared" si="22"/>
        <v>0</v>
      </c>
      <c r="BU39" s="56">
        <f t="shared" si="23"/>
        <v>0</v>
      </c>
      <c r="BV39" s="56">
        <f t="shared" si="24"/>
        <v>0</v>
      </c>
      <c r="BW39" s="56">
        <f t="shared" si="25"/>
        <v>0</v>
      </c>
      <c r="BX39" s="56">
        <f t="shared" si="26"/>
        <v>0</v>
      </c>
      <c r="BY39" s="56">
        <f t="shared" si="118"/>
        <v>0</v>
      </c>
      <c r="BZ39" s="56">
        <f t="shared" si="28"/>
        <v>0</v>
      </c>
      <c r="CA39" s="56">
        <f t="shared" si="29"/>
        <v>0</v>
      </c>
      <c r="CB39" s="56">
        <f t="shared" si="30"/>
        <v>0</v>
      </c>
      <c r="CC39" s="56">
        <f t="shared" si="31"/>
        <v>0</v>
      </c>
      <c r="CD39" s="56">
        <f t="shared" si="32"/>
        <v>0</v>
      </c>
      <c r="CE39" s="56">
        <f t="shared" si="33"/>
        <v>0</v>
      </c>
      <c r="CF39" s="56">
        <f t="shared" si="34"/>
        <v>0</v>
      </c>
      <c r="CG39" s="56">
        <f t="shared" si="35"/>
        <v>0</v>
      </c>
      <c r="CH39" s="54"/>
      <c r="CI39" s="11"/>
      <c r="CJ39" s="12">
        <f t="shared" si="73"/>
        <v>100</v>
      </c>
      <c r="CK39" s="16"/>
      <c r="CL39" s="60">
        <f t="shared" si="74"/>
        <v>0</v>
      </c>
      <c r="CM39" s="60">
        <f t="shared" si="75"/>
        <v>0</v>
      </c>
      <c r="CN39" s="60">
        <f t="shared" si="76"/>
        <v>0</v>
      </c>
      <c r="CO39" s="60">
        <f t="shared" si="77"/>
        <v>0</v>
      </c>
      <c r="CP39" s="60">
        <f t="shared" si="78"/>
        <v>0</v>
      </c>
      <c r="CQ39" s="60">
        <f t="shared" si="79"/>
        <v>0</v>
      </c>
      <c r="CR39" s="60">
        <f t="shared" si="80"/>
        <v>0</v>
      </c>
      <c r="CS39" s="60">
        <f t="shared" si="81"/>
        <v>0</v>
      </c>
      <c r="CT39" s="60">
        <f t="shared" si="82"/>
        <v>0</v>
      </c>
      <c r="CU39" s="60">
        <f t="shared" si="83"/>
        <v>0</v>
      </c>
      <c r="CV39" s="60">
        <f t="shared" si="84"/>
        <v>0</v>
      </c>
      <c r="CW39" s="60">
        <f t="shared" si="85"/>
        <v>56.028255417786532</v>
      </c>
      <c r="CX39" s="60">
        <f t="shared" si="86"/>
        <v>0</v>
      </c>
      <c r="CY39" s="60">
        <f t="shared" si="87"/>
        <v>0</v>
      </c>
      <c r="CZ39" s="60">
        <f t="shared" si="88"/>
        <v>0</v>
      </c>
      <c r="DA39" s="60">
        <f t="shared" si="89"/>
        <v>0</v>
      </c>
      <c r="DB39" s="60">
        <f t="shared" si="90"/>
        <v>0</v>
      </c>
      <c r="DC39" s="60">
        <f t="shared" si="91"/>
        <v>0</v>
      </c>
      <c r="DD39" s="60">
        <f t="shared" si="92"/>
        <v>0</v>
      </c>
      <c r="DE39" s="60">
        <f t="shared" si="93"/>
        <v>43.971744582213482</v>
      </c>
      <c r="DF39" s="54"/>
      <c r="DG39" s="21">
        <f t="shared" si="94"/>
        <v>0</v>
      </c>
      <c r="DH39" s="21">
        <f t="shared" si="95"/>
        <v>0</v>
      </c>
      <c r="DI39" s="21">
        <f t="shared" si="96"/>
        <v>0</v>
      </c>
      <c r="DJ39" s="21">
        <f t="shared" si="97"/>
        <v>0</v>
      </c>
      <c r="DK39" s="21">
        <f t="shared" si="98"/>
        <v>0</v>
      </c>
      <c r="DL39" s="21">
        <f t="shared" si="99"/>
        <v>0</v>
      </c>
      <c r="DM39" s="21">
        <f t="shared" si="100"/>
        <v>0</v>
      </c>
      <c r="DN39" s="21">
        <f t="shared" si="101"/>
        <v>0</v>
      </c>
      <c r="DO39" s="21">
        <f t="shared" si="102"/>
        <v>0</v>
      </c>
      <c r="DP39" s="21">
        <f t="shared" si="103"/>
        <v>0</v>
      </c>
      <c r="DQ39" s="21">
        <f t="shared" si="104"/>
        <v>0</v>
      </c>
      <c r="DR39" s="21">
        <f t="shared" si="105"/>
        <v>0</v>
      </c>
      <c r="DS39" s="21">
        <f t="shared" si="106"/>
        <v>0</v>
      </c>
      <c r="DT39" s="21">
        <f t="shared" si="107"/>
        <v>0</v>
      </c>
      <c r="DU39" s="21">
        <f t="shared" si="108"/>
        <v>0</v>
      </c>
      <c r="DV39" s="21">
        <f t="shared" si="109"/>
        <v>0</v>
      </c>
      <c r="DW39" s="16"/>
      <c r="DX39" s="60" t="e">
        <f t="shared" ca="1" si="72"/>
        <v>#NAME?</v>
      </c>
    </row>
    <row r="40" spans="1:128" s="19" customFormat="1" ht="16" customHeight="1">
      <c r="A40" s="18"/>
      <c r="B40" s="17" t="s">
        <v>409</v>
      </c>
      <c r="C40" s="16"/>
      <c r="D40" s="16"/>
      <c r="E40" s="16"/>
      <c r="F40" s="16"/>
      <c r="G40" s="16"/>
      <c r="H40" s="20"/>
      <c r="I40" s="20"/>
      <c r="J40" s="20"/>
      <c r="K40" s="20"/>
      <c r="L40" s="20"/>
      <c r="M40" s="20"/>
      <c r="N40" s="20"/>
      <c r="O40" s="20"/>
      <c r="P40" s="20"/>
      <c r="Q40" s="20"/>
      <c r="R40" s="20"/>
      <c r="S40" s="20"/>
      <c r="T40" s="20"/>
      <c r="U40" s="20"/>
      <c r="V40" s="20"/>
      <c r="W40" s="20"/>
      <c r="X40" s="20"/>
      <c r="Y40" s="20">
        <v>3</v>
      </c>
      <c r="Z40" s="20"/>
      <c r="AA40" s="20">
        <v>1</v>
      </c>
      <c r="AB40" s="55"/>
      <c r="AC40" s="20"/>
      <c r="AD40" s="20"/>
      <c r="AE40" s="20"/>
      <c r="AF40" s="20"/>
      <c r="AG40" s="20"/>
      <c r="AH40" s="20">
        <v>1</v>
      </c>
      <c r="AI40" s="20"/>
      <c r="AJ40" s="20"/>
      <c r="AK40" s="20"/>
      <c r="AL40" s="20"/>
      <c r="AM40" s="20"/>
      <c r="AN40" s="20"/>
      <c r="AO40" s="20"/>
      <c r="AP40" s="20"/>
      <c r="AQ40" s="20"/>
      <c r="AS40" s="55"/>
      <c r="AT40" s="20"/>
      <c r="AU40" s="20">
        <v>0</v>
      </c>
      <c r="AV40" s="20"/>
      <c r="AW40" s="11">
        <f t="shared" si="0"/>
        <v>0</v>
      </c>
      <c r="AX40" s="11">
        <f t="shared" si="1"/>
        <v>0</v>
      </c>
      <c r="AY40" s="11">
        <f t="shared" si="2"/>
        <v>0</v>
      </c>
      <c r="AZ40" s="11">
        <f t="shared" si="3"/>
        <v>0</v>
      </c>
      <c r="BA40" s="11">
        <f t="shared" si="4"/>
        <v>0</v>
      </c>
      <c r="BB40" s="11">
        <f t="shared" si="5"/>
        <v>0</v>
      </c>
      <c r="BC40" s="11">
        <f t="shared" si="6"/>
        <v>0</v>
      </c>
      <c r="BD40" s="11">
        <f t="shared" si="7"/>
        <v>0</v>
      </c>
      <c r="BE40" s="11">
        <f t="shared" si="8"/>
        <v>0</v>
      </c>
      <c r="BF40" s="11">
        <f t="shared" si="9"/>
        <v>0</v>
      </c>
      <c r="BG40" s="11">
        <f t="shared" si="10"/>
        <v>0</v>
      </c>
      <c r="BH40" s="11">
        <f t="shared" si="11"/>
        <v>0</v>
      </c>
      <c r="BI40" s="11">
        <f t="shared" si="12"/>
        <v>0</v>
      </c>
      <c r="BJ40" s="56">
        <f t="shared" si="13"/>
        <v>0</v>
      </c>
      <c r="BK40" s="11">
        <f t="shared" si="14"/>
        <v>0</v>
      </c>
      <c r="BL40" s="34">
        <f t="shared" si="15"/>
        <v>0</v>
      </c>
      <c r="BM40" s="11">
        <f t="shared" si="16"/>
        <v>0</v>
      </c>
      <c r="BN40" s="11">
        <f t="shared" si="17"/>
        <v>4.4950001496961161</v>
      </c>
      <c r="BO40" s="11">
        <f t="shared" si="18"/>
        <v>17.962411305050743</v>
      </c>
      <c r="BP40" s="11">
        <f t="shared" si="19"/>
        <v>0</v>
      </c>
      <c r="BQ40" s="54"/>
      <c r="BR40" s="56">
        <f t="shared" si="20"/>
        <v>0</v>
      </c>
      <c r="BS40" s="56">
        <f t="shared" si="21"/>
        <v>0</v>
      </c>
      <c r="BT40" s="56">
        <f t="shared" si="22"/>
        <v>0</v>
      </c>
      <c r="BU40" s="56">
        <f t="shared" si="23"/>
        <v>0</v>
      </c>
      <c r="BV40" s="56">
        <f t="shared" si="24"/>
        <v>0</v>
      </c>
      <c r="BW40" s="56">
        <f t="shared" si="25"/>
        <v>77.542588545253125</v>
      </c>
      <c r="BX40" s="56">
        <f t="shared" si="26"/>
        <v>0</v>
      </c>
      <c r="BY40" s="56">
        <f t="shared" si="118"/>
        <v>0</v>
      </c>
      <c r="BZ40" s="56">
        <f t="shared" si="28"/>
        <v>0</v>
      </c>
      <c r="CA40" s="56">
        <f t="shared" si="29"/>
        <v>0</v>
      </c>
      <c r="CB40" s="56">
        <f t="shared" si="30"/>
        <v>0</v>
      </c>
      <c r="CC40" s="56">
        <f t="shared" si="31"/>
        <v>0</v>
      </c>
      <c r="CD40" s="56">
        <f t="shared" si="32"/>
        <v>0</v>
      </c>
      <c r="CE40" s="56">
        <f t="shared" si="33"/>
        <v>0</v>
      </c>
      <c r="CF40" s="56">
        <f t="shared" si="34"/>
        <v>0</v>
      </c>
      <c r="CG40" s="56">
        <f t="shared" si="35"/>
        <v>0</v>
      </c>
      <c r="CH40" s="54"/>
      <c r="CI40" s="11"/>
      <c r="CJ40" s="12">
        <f t="shared" si="73"/>
        <v>99.999999999999986</v>
      </c>
      <c r="CK40" s="16"/>
      <c r="CL40" s="60">
        <f t="shared" si="74"/>
        <v>0</v>
      </c>
      <c r="CM40" s="60">
        <f t="shared" si="75"/>
        <v>0</v>
      </c>
      <c r="CN40" s="60">
        <f t="shared" si="76"/>
        <v>0</v>
      </c>
      <c r="CO40" s="60">
        <f t="shared" si="77"/>
        <v>0</v>
      </c>
      <c r="CP40" s="60">
        <f t="shared" si="78"/>
        <v>0</v>
      </c>
      <c r="CQ40" s="60">
        <f t="shared" si="79"/>
        <v>0</v>
      </c>
      <c r="CR40" s="60">
        <f t="shared" si="80"/>
        <v>0</v>
      </c>
      <c r="CS40" s="60">
        <f t="shared" si="81"/>
        <v>0</v>
      </c>
      <c r="CT40" s="60">
        <f t="shared" si="82"/>
        <v>0</v>
      </c>
      <c r="CU40" s="60">
        <f t="shared" si="83"/>
        <v>0</v>
      </c>
      <c r="CV40" s="60">
        <f t="shared" si="84"/>
        <v>0</v>
      </c>
      <c r="CW40" s="60">
        <f t="shared" si="85"/>
        <v>0</v>
      </c>
      <c r="CX40" s="60">
        <f t="shared" si="86"/>
        <v>0</v>
      </c>
      <c r="CY40" s="60">
        <f t="shared" si="87"/>
        <v>0</v>
      </c>
      <c r="CZ40" s="60">
        <f t="shared" si="88"/>
        <v>0</v>
      </c>
      <c r="DA40" s="60">
        <f t="shared" si="89"/>
        <v>0</v>
      </c>
      <c r="DB40" s="60">
        <f t="shared" si="90"/>
        <v>0</v>
      </c>
      <c r="DC40" s="60">
        <f t="shared" si="91"/>
        <v>0</v>
      </c>
      <c r="DD40" s="60">
        <f t="shared" si="92"/>
        <v>0</v>
      </c>
      <c r="DE40" s="60">
        <f t="shared" si="93"/>
        <v>16.470839204414677</v>
      </c>
      <c r="DF40" s="54"/>
      <c r="DG40" s="21">
        <f t="shared" si="94"/>
        <v>0</v>
      </c>
      <c r="DH40" s="21">
        <f t="shared" si="95"/>
        <v>0</v>
      </c>
      <c r="DI40" s="21">
        <f t="shared" si="96"/>
        <v>0</v>
      </c>
      <c r="DJ40" s="21">
        <f t="shared" si="97"/>
        <v>0</v>
      </c>
      <c r="DK40" s="21">
        <f t="shared" si="98"/>
        <v>0</v>
      </c>
      <c r="DL40" s="21">
        <f t="shared" si="99"/>
        <v>83.529160795585327</v>
      </c>
      <c r="DM40" s="21">
        <f t="shared" si="100"/>
        <v>0</v>
      </c>
      <c r="DN40" s="21">
        <f t="shared" si="101"/>
        <v>0</v>
      </c>
      <c r="DO40" s="21">
        <f t="shared" si="102"/>
        <v>0</v>
      </c>
      <c r="DP40" s="21">
        <f t="shared" si="103"/>
        <v>0</v>
      </c>
      <c r="DQ40" s="21">
        <f t="shared" si="104"/>
        <v>0</v>
      </c>
      <c r="DR40" s="21">
        <f t="shared" si="105"/>
        <v>0</v>
      </c>
      <c r="DS40" s="21">
        <f t="shared" si="106"/>
        <v>0</v>
      </c>
      <c r="DT40" s="21">
        <f t="shared" si="107"/>
        <v>0</v>
      </c>
      <c r="DU40" s="21">
        <f t="shared" si="108"/>
        <v>0</v>
      </c>
      <c r="DV40" s="21">
        <f t="shared" si="109"/>
        <v>0</v>
      </c>
      <c r="DW40" s="16"/>
      <c r="DX40" s="60" t="e">
        <f t="shared" ca="1" si="72"/>
        <v>#NAME?</v>
      </c>
    </row>
    <row r="41" spans="1:128" s="19" customFormat="1" ht="16" customHeight="1">
      <c r="A41" s="18"/>
      <c r="B41" s="17" t="s">
        <v>410</v>
      </c>
      <c r="C41" s="16"/>
      <c r="D41" s="16"/>
      <c r="E41" s="16"/>
      <c r="F41" s="16"/>
      <c r="G41" s="16"/>
      <c r="H41" s="20">
        <v>3</v>
      </c>
      <c r="I41" s="20">
        <v>1</v>
      </c>
      <c r="J41" s="20"/>
      <c r="K41" s="20"/>
      <c r="L41" s="20"/>
      <c r="M41" s="20"/>
      <c r="N41" s="20"/>
      <c r="O41" s="20"/>
      <c r="P41" s="20"/>
      <c r="Q41" s="20"/>
      <c r="R41" s="20"/>
      <c r="S41" s="20"/>
      <c r="T41" s="20"/>
      <c r="U41" s="20"/>
      <c r="V41" s="20"/>
      <c r="W41" s="20"/>
      <c r="X41" s="20"/>
      <c r="Y41" s="20">
        <v>9</v>
      </c>
      <c r="Z41" s="20"/>
      <c r="AA41" s="20"/>
      <c r="AB41" s="55"/>
      <c r="AC41" s="20"/>
      <c r="AD41" s="20"/>
      <c r="AE41" s="20"/>
      <c r="AF41" s="20">
        <v>1</v>
      </c>
      <c r="AG41" s="20"/>
      <c r="AH41" s="20"/>
      <c r="AI41" s="20"/>
      <c r="AJ41" s="20"/>
      <c r="AK41" s="20"/>
      <c r="AL41" s="20"/>
      <c r="AM41" s="20"/>
      <c r="AN41" s="20"/>
      <c r="AO41" s="20"/>
      <c r="AP41" s="20"/>
      <c r="AQ41" s="20"/>
      <c r="AS41" s="55"/>
      <c r="AT41" s="20"/>
      <c r="AU41" s="20">
        <v>0</v>
      </c>
      <c r="AV41" s="20"/>
      <c r="AW41" s="11">
        <f t="shared" si="0"/>
        <v>20.379303964406088</v>
      </c>
      <c r="AX41" s="11">
        <f t="shared" si="1"/>
        <v>11.577695998103721</v>
      </c>
      <c r="AY41" s="11">
        <f t="shared" si="2"/>
        <v>0</v>
      </c>
      <c r="AZ41" s="11">
        <f t="shared" si="3"/>
        <v>0</v>
      </c>
      <c r="BA41" s="11">
        <f t="shared" si="4"/>
        <v>0</v>
      </c>
      <c r="BB41" s="11">
        <f t="shared" si="5"/>
        <v>0</v>
      </c>
      <c r="BC41" s="11">
        <f t="shared" si="6"/>
        <v>0</v>
      </c>
      <c r="BD41" s="11">
        <f t="shared" si="7"/>
        <v>0</v>
      </c>
      <c r="BE41" s="11">
        <f t="shared" si="8"/>
        <v>0</v>
      </c>
      <c r="BF41" s="11">
        <f t="shared" si="9"/>
        <v>0</v>
      </c>
      <c r="BG41" s="11">
        <f t="shared" si="10"/>
        <v>0</v>
      </c>
      <c r="BH41" s="11">
        <f t="shared" si="11"/>
        <v>0</v>
      </c>
      <c r="BI41" s="11">
        <f t="shared" si="12"/>
        <v>0</v>
      </c>
      <c r="BJ41" s="56">
        <f t="shared" si="13"/>
        <v>0</v>
      </c>
      <c r="BK41" s="11">
        <f t="shared" si="14"/>
        <v>0</v>
      </c>
      <c r="BL41" s="34">
        <f t="shared" si="15"/>
        <v>0</v>
      </c>
      <c r="BM41" s="11">
        <f t="shared" si="16"/>
        <v>0</v>
      </c>
      <c r="BN41" s="11">
        <f t="shared" si="17"/>
        <v>0</v>
      </c>
      <c r="BO41" s="11">
        <f t="shared" si="18"/>
        <v>34.827418147428361</v>
      </c>
      <c r="BP41" s="11">
        <f t="shared" si="19"/>
        <v>0</v>
      </c>
      <c r="BQ41" s="54"/>
      <c r="BR41" s="56">
        <f t="shared" si="20"/>
        <v>0</v>
      </c>
      <c r="BS41" s="56">
        <f t="shared" si="21"/>
        <v>0</v>
      </c>
      <c r="BT41" s="56">
        <f t="shared" si="22"/>
        <v>0</v>
      </c>
      <c r="BU41" s="56">
        <f t="shared" si="23"/>
        <v>33.215581890061834</v>
      </c>
      <c r="BV41" s="56">
        <f t="shared" si="24"/>
        <v>0</v>
      </c>
      <c r="BW41" s="56">
        <f t="shared" si="25"/>
        <v>0</v>
      </c>
      <c r="BX41" s="56">
        <f t="shared" si="26"/>
        <v>0</v>
      </c>
      <c r="BY41" s="56">
        <f t="shared" si="118"/>
        <v>0</v>
      </c>
      <c r="BZ41" s="56">
        <f t="shared" si="28"/>
        <v>0</v>
      </c>
      <c r="CA41" s="56">
        <f t="shared" si="29"/>
        <v>0</v>
      </c>
      <c r="CB41" s="56">
        <f t="shared" si="30"/>
        <v>0</v>
      </c>
      <c r="CC41" s="56">
        <f t="shared" si="31"/>
        <v>0</v>
      </c>
      <c r="CD41" s="56">
        <f t="shared" si="32"/>
        <v>0</v>
      </c>
      <c r="CE41" s="56">
        <f t="shared" si="33"/>
        <v>0</v>
      </c>
      <c r="CF41" s="56">
        <f t="shared" si="34"/>
        <v>0</v>
      </c>
      <c r="CG41" s="56">
        <f t="shared" si="35"/>
        <v>0</v>
      </c>
      <c r="CH41" s="54"/>
      <c r="CI41" s="11"/>
      <c r="CJ41" s="12">
        <f t="shared" si="73"/>
        <v>100</v>
      </c>
      <c r="CK41" s="16"/>
      <c r="CL41" s="60">
        <f t="shared" si="74"/>
        <v>43.596258382058615</v>
      </c>
      <c r="CM41" s="60">
        <f t="shared" si="75"/>
        <v>19.316616580906139</v>
      </c>
      <c r="CN41" s="60">
        <f t="shared" si="76"/>
        <v>0</v>
      </c>
      <c r="CO41" s="60">
        <f t="shared" si="77"/>
        <v>0</v>
      </c>
      <c r="CP41" s="60">
        <f t="shared" si="78"/>
        <v>0</v>
      </c>
      <c r="CQ41" s="60">
        <f t="shared" si="79"/>
        <v>0</v>
      </c>
      <c r="CR41" s="60">
        <f t="shared" si="80"/>
        <v>0</v>
      </c>
      <c r="CS41" s="60">
        <f t="shared" si="81"/>
        <v>0</v>
      </c>
      <c r="CT41" s="60">
        <f t="shared" si="82"/>
        <v>0</v>
      </c>
      <c r="CU41" s="60">
        <f t="shared" si="83"/>
        <v>0</v>
      </c>
      <c r="CV41" s="60">
        <f t="shared" si="84"/>
        <v>0</v>
      </c>
      <c r="CW41" s="60">
        <f t="shared" si="85"/>
        <v>0</v>
      </c>
      <c r="CX41" s="60">
        <f t="shared" si="86"/>
        <v>0</v>
      </c>
      <c r="CY41" s="60">
        <f t="shared" si="87"/>
        <v>0</v>
      </c>
      <c r="CZ41" s="60">
        <f t="shared" si="88"/>
        <v>0</v>
      </c>
      <c r="DA41" s="60">
        <f t="shared" si="89"/>
        <v>0</v>
      </c>
      <c r="DB41" s="60">
        <f t="shared" si="90"/>
        <v>0</v>
      </c>
      <c r="DC41" s="60">
        <f t="shared" si="91"/>
        <v>0</v>
      </c>
      <c r="DD41" s="60">
        <f t="shared" si="92"/>
        <v>0</v>
      </c>
      <c r="DE41" s="60">
        <f t="shared" si="93"/>
        <v>0</v>
      </c>
      <c r="DF41" s="54"/>
      <c r="DG41" s="21">
        <f t="shared" si="94"/>
        <v>0</v>
      </c>
      <c r="DH41" s="21">
        <f t="shared" si="95"/>
        <v>0</v>
      </c>
      <c r="DI41" s="21">
        <f t="shared" si="96"/>
        <v>0</v>
      </c>
      <c r="DJ41" s="21">
        <f t="shared" si="97"/>
        <v>37.087125037035243</v>
      </c>
      <c r="DK41" s="21">
        <f t="shared" si="98"/>
        <v>0</v>
      </c>
      <c r="DL41" s="21">
        <f t="shared" si="99"/>
        <v>0</v>
      </c>
      <c r="DM41" s="21">
        <f t="shared" si="100"/>
        <v>0</v>
      </c>
      <c r="DN41" s="21">
        <f t="shared" si="101"/>
        <v>0</v>
      </c>
      <c r="DO41" s="21">
        <f t="shared" si="102"/>
        <v>0</v>
      </c>
      <c r="DP41" s="21">
        <f t="shared" si="103"/>
        <v>0</v>
      </c>
      <c r="DQ41" s="21">
        <f t="shared" si="104"/>
        <v>0</v>
      </c>
      <c r="DR41" s="21">
        <f t="shared" si="105"/>
        <v>0</v>
      </c>
      <c r="DS41" s="21">
        <f t="shared" si="106"/>
        <v>0</v>
      </c>
      <c r="DT41" s="21">
        <f t="shared" si="107"/>
        <v>0</v>
      </c>
      <c r="DU41" s="21">
        <f t="shared" si="108"/>
        <v>0</v>
      </c>
      <c r="DV41" s="21">
        <f t="shared" si="109"/>
        <v>0</v>
      </c>
      <c r="DW41" s="16"/>
      <c r="DX41" s="60" t="e">
        <f t="shared" ca="1" si="72"/>
        <v>#NAME?</v>
      </c>
    </row>
    <row r="42" spans="1:128" s="19" customFormat="1" ht="16" customHeight="1">
      <c r="A42" s="18"/>
      <c r="B42" s="17" t="s">
        <v>410</v>
      </c>
      <c r="C42" s="16"/>
      <c r="D42" s="16"/>
      <c r="E42" s="16"/>
      <c r="F42" s="16"/>
      <c r="G42" s="16"/>
      <c r="H42" s="20"/>
      <c r="I42" s="20"/>
      <c r="J42" s="20"/>
      <c r="K42" s="20"/>
      <c r="L42" s="20"/>
      <c r="M42" s="20"/>
      <c r="N42" s="20"/>
      <c r="O42" s="20"/>
      <c r="P42" s="20"/>
      <c r="Q42" s="20"/>
      <c r="R42" s="20"/>
      <c r="S42" s="20"/>
      <c r="T42" s="20"/>
      <c r="U42" s="20"/>
      <c r="V42" s="20"/>
      <c r="W42" s="20"/>
      <c r="X42" s="20"/>
      <c r="Y42" s="20">
        <v>3</v>
      </c>
      <c r="Z42" s="20"/>
      <c r="AA42" s="20">
        <v>1</v>
      </c>
      <c r="AB42" s="55"/>
      <c r="AC42" s="20"/>
      <c r="AD42" s="20"/>
      <c r="AE42" s="20"/>
      <c r="AF42" s="20"/>
      <c r="AG42" s="20">
        <v>1</v>
      </c>
      <c r="AH42" s="20"/>
      <c r="AI42" s="20"/>
      <c r="AJ42" s="20"/>
      <c r="AK42" s="20"/>
      <c r="AL42" s="20"/>
      <c r="AM42" s="20"/>
      <c r="AN42" s="20"/>
      <c r="AO42" s="20"/>
      <c r="AP42" s="20"/>
      <c r="AQ42" s="20"/>
      <c r="AS42" s="55"/>
      <c r="AT42" s="20"/>
      <c r="AU42" s="20">
        <v>0</v>
      </c>
      <c r="AV42" s="20"/>
      <c r="AW42" s="11">
        <f t="shared" si="0"/>
        <v>0</v>
      </c>
      <c r="AX42" s="11">
        <f t="shared" si="1"/>
        <v>0</v>
      </c>
      <c r="AY42" s="11">
        <f t="shared" si="2"/>
        <v>0</v>
      </c>
      <c r="AZ42" s="11">
        <f t="shared" si="3"/>
        <v>0</v>
      </c>
      <c r="BA42" s="11">
        <f t="shared" si="4"/>
        <v>0</v>
      </c>
      <c r="BB42" s="11">
        <f t="shared" si="5"/>
        <v>0</v>
      </c>
      <c r="BC42" s="11">
        <f t="shared" si="6"/>
        <v>0</v>
      </c>
      <c r="BD42" s="11">
        <f t="shared" si="7"/>
        <v>0</v>
      </c>
      <c r="BE42" s="11">
        <f t="shared" si="8"/>
        <v>0</v>
      </c>
      <c r="BF42" s="11">
        <f t="shared" si="9"/>
        <v>0</v>
      </c>
      <c r="BG42" s="11">
        <f t="shared" si="10"/>
        <v>0</v>
      </c>
      <c r="BH42" s="11">
        <f t="shared" si="11"/>
        <v>0</v>
      </c>
      <c r="BI42" s="11">
        <f t="shared" si="12"/>
        <v>0</v>
      </c>
      <c r="BJ42" s="56">
        <f t="shared" si="13"/>
        <v>0</v>
      </c>
      <c r="BK42" s="11">
        <f t="shared" si="14"/>
        <v>0</v>
      </c>
      <c r="BL42" s="34">
        <f t="shared" si="15"/>
        <v>0</v>
      </c>
      <c r="BM42" s="11">
        <f t="shared" si="16"/>
        <v>0</v>
      </c>
      <c r="BN42" s="11">
        <f t="shared" si="17"/>
        <v>8.1359904625138846</v>
      </c>
      <c r="BO42" s="11">
        <f t="shared" si="18"/>
        <v>32.512125071124714</v>
      </c>
      <c r="BP42" s="11">
        <f t="shared" si="19"/>
        <v>0</v>
      </c>
      <c r="BQ42" s="54"/>
      <c r="BR42" s="56">
        <f t="shared" si="20"/>
        <v>0</v>
      </c>
      <c r="BS42" s="56">
        <f t="shared" si="21"/>
        <v>0</v>
      </c>
      <c r="BT42" s="56">
        <f t="shared" si="22"/>
        <v>0</v>
      </c>
      <c r="BU42" s="56">
        <f t="shared" si="23"/>
        <v>0</v>
      </c>
      <c r="BV42" s="56">
        <f t="shared" si="24"/>
        <v>59.35188446636139</v>
      </c>
      <c r="BW42" s="56">
        <f t="shared" si="25"/>
        <v>0</v>
      </c>
      <c r="BX42" s="56">
        <f t="shared" si="26"/>
        <v>0</v>
      </c>
      <c r="BY42" s="56">
        <f t="shared" si="118"/>
        <v>0</v>
      </c>
      <c r="BZ42" s="56">
        <f t="shared" si="28"/>
        <v>0</v>
      </c>
      <c r="CA42" s="56">
        <f t="shared" si="29"/>
        <v>0</v>
      </c>
      <c r="CB42" s="56">
        <f t="shared" si="30"/>
        <v>0</v>
      </c>
      <c r="CC42" s="56">
        <f t="shared" si="31"/>
        <v>0</v>
      </c>
      <c r="CD42" s="56">
        <f t="shared" si="32"/>
        <v>0</v>
      </c>
      <c r="CE42" s="56">
        <f t="shared" si="33"/>
        <v>0</v>
      </c>
      <c r="CF42" s="56">
        <f t="shared" si="34"/>
        <v>0</v>
      </c>
      <c r="CG42" s="56">
        <f t="shared" si="35"/>
        <v>0</v>
      </c>
      <c r="CH42" s="54"/>
      <c r="CI42" s="11"/>
      <c r="CJ42" s="12">
        <f t="shared" si="73"/>
        <v>100</v>
      </c>
      <c r="CK42" s="16"/>
      <c r="CL42" s="60">
        <f t="shared" si="74"/>
        <v>0</v>
      </c>
      <c r="CM42" s="60">
        <f t="shared" si="75"/>
        <v>0</v>
      </c>
      <c r="CN42" s="60">
        <f t="shared" si="76"/>
        <v>0</v>
      </c>
      <c r="CO42" s="60">
        <f t="shared" si="77"/>
        <v>0</v>
      </c>
      <c r="CP42" s="60">
        <f t="shared" si="78"/>
        <v>0</v>
      </c>
      <c r="CQ42" s="60">
        <f t="shared" si="79"/>
        <v>0</v>
      </c>
      <c r="CR42" s="60">
        <f t="shared" si="80"/>
        <v>0</v>
      </c>
      <c r="CS42" s="60">
        <f t="shared" si="81"/>
        <v>0</v>
      </c>
      <c r="CT42" s="60">
        <f t="shared" si="82"/>
        <v>0</v>
      </c>
      <c r="CU42" s="60">
        <f t="shared" si="83"/>
        <v>0</v>
      </c>
      <c r="CV42" s="60">
        <f t="shared" si="84"/>
        <v>0</v>
      </c>
      <c r="CW42" s="60">
        <f t="shared" si="85"/>
        <v>0</v>
      </c>
      <c r="CX42" s="60">
        <f t="shared" si="86"/>
        <v>0</v>
      </c>
      <c r="CY42" s="60">
        <f t="shared" si="87"/>
        <v>0</v>
      </c>
      <c r="CZ42" s="60">
        <f t="shared" si="88"/>
        <v>0</v>
      </c>
      <c r="DA42" s="60">
        <f t="shared" si="89"/>
        <v>0</v>
      </c>
      <c r="DB42" s="60">
        <f t="shared" si="90"/>
        <v>0</v>
      </c>
      <c r="DC42" s="60">
        <f t="shared" si="91"/>
        <v>0</v>
      </c>
      <c r="DD42" s="60">
        <f t="shared" si="92"/>
        <v>0</v>
      </c>
      <c r="DE42" s="60">
        <f t="shared" si="93"/>
        <v>29.811114987180744</v>
      </c>
      <c r="DF42" s="54"/>
      <c r="DG42" s="21">
        <f t="shared" si="94"/>
        <v>0</v>
      </c>
      <c r="DH42" s="21">
        <f t="shared" si="95"/>
        <v>0</v>
      </c>
      <c r="DI42" s="21">
        <f t="shared" si="96"/>
        <v>0</v>
      </c>
      <c r="DJ42" s="21">
        <f t="shared" si="97"/>
        <v>0</v>
      </c>
      <c r="DK42" s="21">
        <f t="shared" si="98"/>
        <v>70.188885012819242</v>
      </c>
      <c r="DL42" s="21">
        <f t="shared" si="99"/>
        <v>0</v>
      </c>
      <c r="DM42" s="21">
        <f t="shared" si="100"/>
        <v>0</v>
      </c>
      <c r="DN42" s="21">
        <f t="shared" si="101"/>
        <v>0</v>
      </c>
      <c r="DO42" s="21">
        <f t="shared" si="102"/>
        <v>0</v>
      </c>
      <c r="DP42" s="21">
        <f t="shared" si="103"/>
        <v>0</v>
      </c>
      <c r="DQ42" s="21">
        <f t="shared" si="104"/>
        <v>0</v>
      </c>
      <c r="DR42" s="21">
        <f t="shared" si="105"/>
        <v>0</v>
      </c>
      <c r="DS42" s="21">
        <f t="shared" si="106"/>
        <v>0</v>
      </c>
      <c r="DT42" s="21">
        <f t="shared" si="107"/>
        <v>0</v>
      </c>
      <c r="DU42" s="21">
        <f t="shared" si="108"/>
        <v>0</v>
      </c>
      <c r="DV42" s="21">
        <f t="shared" si="109"/>
        <v>0</v>
      </c>
      <c r="DW42" s="16"/>
      <c r="DX42" s="60" t="e">
        <f t="shared" ca="1" si="72"/>
        <v>#NAME?</v>
      </c>
    </row>
    <row r="43" spans="1:128" s="19" customFormat="1" ht="16" customHeight="1">
      <c r="A43" s="18"/>
      <c r="B43" s="17" t="s">
        <v>411</v>
      </c>
      <c r="C43" s="16"/>
      <c r="D43" s="16"/>
      <c r="E43" s="16"/>
      <c r="F43" s="16"/>
      <c r="G43" s="16"/>
      <c r="H43" s="20"/>
      <c r="I43" s="20"/>
      <c r="J43" s="20"/>
      <c r="K43" s="20"/>
      <c r="L43" s="20"/>
      <c r="M43" s="20"/>
      <c r="N43" s="20"/>
      <c r="O43" s="20"/>
      <c r="P43" s="20"/>
      <c r="Q43" s="20"/>
      <c r="R43" s="20"/>
      <c r="S43" s="20"/>
      <c r="T43" s="20"/>
      <c r="U43" s="20"/>
      <c r="V43" s="20"/>
      <c r="W43" s="20"/>
      <c r="X43" s="20">
        <v>1</v>
      </c>
      <c r="Y43" s="20">
        <v>12</v>
      </c>
      <c r="Z43" s="20"/>
      <c r="AA43" s="20"/>
      <c r="AB43" s="55"/>
      <c r="AC43" s="20"/>
      <c r="AD43" s="20"/>
      <c r="AE43" s="20"/>
      <c r="AF43" s="20"/>
      <c r="AG43" s="20"/>
      <c r="AH43" s="20">
        <v>5</v>
      </c>
      <c r="AI43" s="20">
        <v>3</v>
      </c>
      <c r="AJ43" s="20"/>
      <c r="AK43" s="20"/>
      <c r="AL43" s="20"/>
      <c r="AM43" s="20"/>
      <c r="AN43" s="20"/>
      <c r="AO43" s="20"/>
      <c r="AP43" s="20"/>
      <c r="AQ43" s="20"/>
      <c r="AS43" s="55"/>
      <c r="AT43" s="20"/>
      <c r="AU43" s="20">
        <v>0</v>
      </c>
      <c r="AV43" s="20"/>
      <c r="AW43" s="11">
        <f t="shared" ref="AW43:AW50" si="119">28.0855*H43*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AX43" s="11">
        <f t="shared" ref="AX43:AX50" si="120">I43*47.867*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AY43" s="11">
        <f t="shared" ref="AY43:AY50" si="121">J43*26.981539*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AZ43" s="11">
        <f t="shared" ref="AZ43:AZ50" si="122">K43*51.9961*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A43" s="11">
        <f t="shared" ref="BA43:BA50" si="123">L43*55.845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B43" s="11">
        <f t="shared" ref="BB43:BB49" si="124">M44*55.845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C43" s="11">
        <f t="shared" ref="BC43:BC50" si="125">N43*54.938044*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D43" s="11">
        <f t="shared" ref="BD43:BD50" si="126">O43*24.305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E43" s="11">
        <f t="shared" ref="BE43:BE50" si="127">P43*58.6934*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F43" s="11">
        <f t="shared" ref="BF43:BF50" si="128">Q43*65.38*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G43" s="11">
        <f t="shared" ref="BG43:BG50" si="129">R43*40.078*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H43" s="11">
        <f t="shared" ref="BH43:BH50" si="130">S43*22.989769*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I43" s="11">
        <f t="shared" ref="BI43:BI50" si="131">T43*39.0983*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J43" s="56">
        <f t="shared" ref="BJ43:BJ50" si="132">U43*30.973762*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K43" s="11">
        <f t="shared" ref="BK43:BK50" si="133">V43*32.065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L43" s="34">
        <f t="shared" ref="BL43:BL50" si="134">W43*18.9984*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M43" s="11">
        <f t="shared" ref="BM43:BM50" si="135">X43*35.453*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2.5032735740579715</v>
      </c>
      <c r="BN43" s="11">
        <f t="shared" ref="BN43:BN50" si="136">AA43*12.011*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O43" s="11">
        <f t="shared" ref="BO43:BO50" si="137">Y43*15.999*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13.5559328388639</v>
      </c>
      <c r="BP43" s="11">
        <f t="shared" ref="BP43:BP50" si="138">Z43*1.00784*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Q43" s="54"/>
      <c r="BR43" s="56">
        <f t="shared" ref="BR43:BR50" si="139">AC43*58.933195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S43" s="56">
        <f t="shared" ref="BS43:BS50" si="140">AD43*63.546*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T43" s="56">
        <f t="shared" ref="BT43:BT50" si="141">AE43*9.012182*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U43" s="56">
        <f t="shared" ref="BU43:BU50" si="142">AF43*137.327*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V43" s="56">
        <f t="shared" ref="BV43:BV50" si="143">AG43*87.62*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BW43" s="56">
        <f t="shared" ref="BW43:BW50" si="144">AH43*207.2*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73.150126159254739</v>
      </c>
      <c r="BX43" s="56">
        <f t="shared" ref="BX43:BX50" si="145">AI43*50.9415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10.790667427823385</v>
      </c>
      <c r="BY43" s="56">
        <f t="shared" si="118"/>
        <v>0</v>
      </c>
      <c r="BZ43" s="56">
        <f t="shared" ref="BZ43:BZ50" si="146">AK43*91.224*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CA43" s="56">
        <f t="shared" ref="CA43:CA50" si="147">AL43*88.90585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CB43" s="56">
        <f t="shared" ref="CB43:CB50" si="148">AM43*95.95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CC43" s="56">
        <f t="shared" ref="CC43:CC50" si="149">AN43*183.84*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CD43" s="56">
        <f t="shared" ref="CD43:CD50" si="150">AO43*74.9216*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CE43" s="56">
        <f t="shared" ref="CE43:CE50" si="151">AP43*78.96*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CF43" s="56">
        <f t="shared" ref="CF43:CF50" si="152">AQ43*121.75*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CG43" s="56">
        <f t="shared" ref="CG43:CG50" si="153">AR43*127.6*100/(H43*28.0855+I43*47.867+J43*26.981539+K43*51.9961+L43*55.845+M43*55.845+N43*54.938044+O43*24.305+P43*58.6934+Q43*65.38+R43*40.078+S43*22.989769+T43*39.0983+U43*30.973762+AC43*58.933195+AD43*63.546+AE43*9.012182+AF43*137.327+AG43*87.62+AH43*207.2+AI43*50.9415+AJ43*118.71+AK43*91.224+AL43*88.90585+AM43*95.95+AN43*183.84+AO43*74.9216+W43*18.9984+X43*35.453+Y43*15.999+V43*32.065+Z43*1.00784+AA43*12.011+AP43*78.96+AQ43*121.75+AR43*127.6)</f>
        <v>0</v>
      </c>
      <c r="CH43" s="54"/>
      <c r="CI43" s="11"/>
      <c r="CJ43" s="12">
        <f t="shared" si="73"/>
        <v>99.999999999999986</v>
      </c>
      <c r="CK43" s="16"/>
      <c r="CL43" s="60">
        <f t="shared" si="74"/>
        <v>0</v>
      </c>
      <c r="CM43" s="60">
        <f t="shared" si="75"/>
        <v>0</v>
      </c>
      <c r="CN43" s="60">
        <f t="shared" si="76"/>
        <v>0</v>
      </c>
      <c r="CO43" s="60">
        <f t="shared" si="77"/>
        <v>0</v>
      </c>
      <c r="CP43" s="60">
        <f t="shared" si="78"/>
        <v>0</v>
      </c>
      <c r="CQ43" s="60">
        <f t="shared" si="79"/>
        <v>0</v>
      </c>
      <c r="CR43" s="60">
        <f t="shared" si="80"/>
        <v>0</v>
      </c>
      <c r="CS43" s="60">
        <f t="shared" si="81"/>
        <v>0</v>
      </c>
      <c r="CT43" s="60">
        <f t="shared" si="82"/>
        <v>0</v>
      </c>
      <c r="CU43" s="60">
        <f t="shared" si="83"/>
        <v>0</v>
      </c>
      <c r="CV43" s="60">
        <f t="shared" si="84"/>
        <v>0</v>
      </c>
      <c r="CW43" s="60">
        <f t="shared" si="85"/>
        <v>0</v>
      </c>
      <c r="CX43" s="60">
        <f t="shared" si="86"/>
        <v>0</v>
      </c>
      <c r="CY43" s="60">
        <f t="shared" si="87"/>
        <v>0</v>
      </c>
      <c r="CZ43" s="60">
        <f t="shared" si="88"/>
        <v>0</v>
      </c>
      <c r="DA43" s="60">
        <f t="shared" si="89"/>
        <v>0</v>
      </c>
      <c r="DB43" s="60">
        <f t="shared" si="90"/>
        <v>0</v>
      </c>
      <c r="DC43" s="60">
        <f t="shared" si="91"/>
        <v>2.4892875780842574</v>
      </c>
      <c r="DD43" s="60">
        <f t="shared" si="92"/>
        <v>0</v>
      </c>
      <c r="DE43" s="60">
        <f t="shared" si="93"/>
        <v>0</v>
      </c>
      <c r="DF43" s="54"/>
      <c r="DG43" s="21">
        <f t="shared" si="94"/>
        <v>0</v>
      </c>
      <c r="DH43" s="21">
        <f t="shared" si="95"/>
        <v>0</v>
      </c>
      <c r="DI43" s="21">
        <f t="shared" si="96"/>
        <v>0</v>
      </c>
      <c r="DJ43" s="21">
        <f t="shared" si="97"/>
        <v>0</v>
      </c>
      <c r="DK43" s="21">
        <f t="shared" si="98"/>
        <v>0</v>
      </c>
      <c r="DL43" s="21">
        <f t="shared" si="99"/>
        <v>78.354843018762338</v>
      </c>
      <c r="DM43" s="21">
        <f t="shared" si="100"/>
        <v>19.155869403153407</v>
      </c>
      <c r="DN43" s="21">
        <f t="shared" si="101"/>
        <v>0</v>
      </c>
      <c r="DO43" s="21">
        <f t="shared" si="102"/>
        <v>0</v>
      </c>
      <c r="DP43" s="21">
        <f t="shared" si="103"/>
        <v>0</v>
      </c>
      <c r="DQ43" s="21">
        <f t="shared" si="104"/>
        <v>0</v>
      </c>
      <c r="DR43" s="21">
        <f t="shared" si="105"/>
        <v>0</v>
      </c>
      <c r="DS43" s="21">
        <f t="shared" si="106"/>
        <v>0</v>
      </c>
      <c r="DT43" s="21">
        <f t="shared" si="107"/>
        <v>0</v>
      </c>
      <c r="DU43" s="21">
        <f t="shared" si="108"/>
        <v>0</v>
      </c>
      <c r="DV43" s="21">
        <f t="shared" si="109"/>
        <v>0</v>
      </c>
      <c r="DW43" s="16"/>
      <c r="DX43" s="60" t="e">
        <f t="shared" ca="1" si="72"/>
        <v>#NAME?</v>
      </c>
    </row>
    <row r="44" spans="1:128" s="19" customFormat="1" ht="16" customHeight="1">
      <c r="A44" s="18"/>
      <c r="B44" s="17" t="s">
        <v>413</v>
      </c>
      <c r="C44" s="16"/>
      <c r="D44" s="16"/>
      <c r="E44" s="16"/>
      <c r="F44" s="16"/>
      <c r="G44" s="16"/>
      <c r="H44" s="20"/>
      <c r="I44" s="20"/>
      <c r="J44" s="20"/>
      <c r="K44" s="20"/>
      <c r="L44" s="20"/>
      <c r="M44" s="20"/>
      <c r="N44" s="20"/>
      <c r="O44" s="20"/>
      <c r="P44" s="20"/>
      <c r="Q44" s="20"/>
      <c r="R44" s="20"/>
      <c r="S44" s="20"/>
      <c r="T44" s="20"/>
      <c r="U44" s="20"/>
      <c r="V44" s="20"/>
      <c r="W44" s="20"/>
      <c r="X44" s="20"/>
      <c r="Y44" s="20">
        <v>2</v>
      </c>
      <c r="Z44" s="20"/>
      <c r="AA44" s="20"/>
      <c r="AB44" s="55"/>
      <c r="AC44" s="20"/>
      <c r="AD44" s="20"/>
      <c r="AE44" s="20"/>
      <c r="AF44" s="20"/>
      <c r="AG44" s="20"/>
      <c r="AH44" s="20"/>
      <c r="AI44" s="20"/>
      <c r="AJ44" s="20">
        <v>1</v>
      </c>
      <c r="AK44" s="20"/>
      <c r="AL44" s="20"/>
      <c r="AM44" s="20"/>
      <c r="AN44" s="20"/>
      <c r="AO44" s="20"/>
      <c r="AP44" s="20"/>
      <c r="AQ44" s="20"/>
      <c r="AS44" s="55"/>
      <c r="AT44" s="20"/>
      <c r="AU44" s="20">
        <v>0</v>
      </c>
      <c r="AV44" s="20"/>
      <c r="AW44" s="11">
        <f t="shared" si="119"/>
        <v>0</v>
      </c>
      <c r="AX44" s="11">
        <f t="shared" si="120"/>
        <v>0</v>
      </c>
      <c r="AY44" s="11">
        <f t="shared" si="121"/>
        <v>0</v>
      </c>
      <c r="AZ44" s="11">
        <f t="shared" si="122"/>
        <v>0</v>
      </c>
      <c r="BA44" s="11">
        <f t="shared" si="123"/>
        <v>0</v>
      </c>
      <c r="BB44" s="11">
        <f t="shared" si="124"/>
        <v>0</v>
      </c>
      <c r="BC44" s="11">
        <f t="shared" si="125"/>
        <v>0</v>
      </c>
      <c r="BD44" s="11">
        <f t="shared" si="126"/>
        <v>0</v>
      </c>
      <c r="BE44" s="11">
        <f t="shared" si="127"/>
        <v>0</v>
      </c>
      <c r="BF44" s="11">
        <f t="shared" si="128"/>
        <v>0</v>
      </c>
      <c r="BG44" s="11">
        <f t="shared" si="129"/>
        <v>0</v>
      </c>
      <c r="BH44" s="11">
        <f t="shared" si="130"/>
        <v>0</v>
      </c>
      <c r="BI44" s="11">
        <f t="shared" si="131"/>
        <v>0</v>
      </c>
      <c r="BJ44" s="56">
        <f t="shared" si="132"/>
        <v>0</v>
      </c>
      <c r="BK44" s="11">
        <f t="shared" si="133"/>
        <v>0</v>
      </c>
      <c r="BL44" s="34">
        <f t="shared" si="134"/>
        <v>0</v>
      </c>
      <c r="BM44" s="11">
        <f t="shared" si="135"/>
        <v>0</v>
      </c>
      <c r="BN44" s="11">
        <f t="shared" si="136"/>
        <v>0</v>
      </c>
      <c r="BO44" s="11">
        <f t="shared" si="137"/>
        <v>21.23178597022056</v>
      </c>
      <c r="BP44" s="11">
        <f t="shared" si="138"/>
        <v>0</v>
      </c>
      <c r="BQ44" s="54"/>
      <c r="BR44" s="56">
        <f t="shared" si="139"/>
        <v>0</v>
      </c>
      <c r="BS44" s="56">
        <f t="shared" si="140"/>
        <v>0</v>
      </c>
      <c r="BT44" s="56">
        <f t="shared" si="141"/>
        <v>0</v>
      </c>
      <c r="BU44" s="56">
        <f t="shared" si="142"/>
        <v>0</v>
      </c>
      <c r="BV44" s="56">
        <f t="shared" si="143"/>
        <v>0</v>
      </c>
      <c r="BW44" s="56">
        <f t="shared" si="144"/>
        <v>0</v>
      </c>
      <c r="BX44" s="56">
        <f t="shared" si="145"/>
        <v>0</v>
      </c>
      <c r="BY44" s="56">
        <f t="shared" ref="BY44" si="154">AJ44*118.71*100/(H44*28.0855+I44*47.867+J44*26.981539+K44*51.9961+L44*55.845+M44*55.845+N44*54.938044+O44*24.305+P44*58.6934+Q44*65.38+R44*40.078+S44*22.989769+T44*39.0983+U44*30.973762+AC44*58.933195+AD44*63.546+AE44*9.012182+AF44*137.327+AG44*87.62+AH44*207.2+AI44*50.9415+AJ44*118.71+AK44*91.224+AL44*88.90585+AM44*95.95+AN44*183.84+AO44*74.9216+W44*18.9984+X44*35.453+Y44*15.999+V44*32.065+Z44*1.00784+AA44*12.011+AP44*78.96+AQ44*121.75+AR44*127.6)</f>
        <v>78.768214029779443</v>
      </c>
      <c r="BZ44" s="56">
        <f t="shared" si="146"/>
        <v>0</v>
      </c>
      <c r="CA44" s="56">
        <f t="shared" si="147"/>
        <v>0</v>
      </c>
      <c r="CB44" s="56">
        <f t="shared" si="148"/>
        <v>0</v>
      </c>
      <c r="CC44" s="56">
        <f t="shared" si="149"/>
        <v>0</v>
      </c>
      <c r="CD44" s="56">
        <f t="shared" si="150"/>
        <v>0</v>
      </c>
      <c r="CE44" s="56">
        <f t="shared" si="151"/>
        <v>0</v>
      </c>
      <c r="CF44" s="56">
        <f t="shared" si="152"/>
        <v>0</v>
      </c>
      <c r="CG44" s="56">
        <f t="shared" si="153"/>
        <v>0</v>
      </c>
      <c r="CH44" s="54"/>
      <c r="CI44" s="11"/>
      <c r="CJ44" s="12">
        <f t="shared" si="73"/>
        <v>100</v>
      </c>
      <c r="CK44" s="16"/>
      <c r="CL44" s="60">
        <f t="shared" si="74"/>
        <v>0</v>
      </c>
      <c r="CM44" s="60">
        <f t="shared" si="75"/>
        <v>0</v>
      </c>
      <c r="CN44" s="60">
        <f t="shared" si="76"/>
        <v>0</v>
      </c>
      <c r="CO44" s="60">
        <f t="shared" si="77"/>
        <v>0</v>
      </c>
      <c r="CP44" s="60">
        <f t="shared" si="78"/>
        <v>0</v>
      </c>
      <c r="CQ44" s="60">
        <f t="shared" si="79"/>
        <v>0</v>
      </c>
      <c r="CR44" s="60">
        <f t="shared" si="80"/>
        <v>0</v>
      </c>
      <c r="CS44" s="60">
        <f t="shared" si="81"/>
        <v>0</v>
      </c>
      <c r="CT44" s="60">
        <f t="shared" si="82"/>
        <v>0</v>
      </c>
      <c r="CU44" s="60">
        <f t="shared" si="83"/>
        <v>0</v>
      </c>
      <c r="CV44" s="60">
        <f t="shared" si="84"/>
        <v>0</v>
      </c>
      <c r="CW44" s="60">
        <f t="shared" si="85"/>
        <v>0</v>
      </c>
      <c r="CX44" s="60">
        <f t="shared" si="86"/>
        <v>0</v>
      </c>
      <c r="CY44" s="60">
        <f t="shared" si="87"/>
        <v>0</v>
      </c>
      <c r="CZ44" s="60">
        <f t="shared" si="88"/>
        <v>0</v>
      </c>
      <c r="DA44" s="60">
        <f t="shared" si="89"/>
        <v>0</v>
      </c>
      <c r="DB44" s="60">
        <f t="shared" si="90"/>
        <v>0</v>
      </c>
      <c r="DC44" s="60">
        <f t="shared" si="91"/>
        <v>0</v>
      </c>
      <c r="DD44" s="60">
        <f t="shared" si="92"/>
        <v>0</v>
      </c>
      <c r="DE44" s="60">
        <f t="shared" si="93"/>
        <v>0</v>
      </c>
      <c r="DF44" s="54"/>
      <c r="DG44" s="21">
        <f t="shared" si="94"/>
        <v>0</v>
      </c>
      <c r="DH44" s="21">
        <f t="shared" si="95"/>
        <v>0</v>
      </c>
      <c r="DI44" s="21">
        <f t="shared" si="96"/>
        <v>0</v>
      </c>
      <c r="DJ44" s="21">
        <f t="shared" si="97"/>
        <v>0</v>
      </c>
      <c r="DK44" s="21">
        <f t="shared" si="98"/>
        <v>0</v>
      </c>
      <c r="DL44" s="21">
        <f t="shared" si="99"/>
        <v>0</v>
      </c>
      <c r="DM44" s="21">
        <f t="shared" si="100"/>
        <v>0</v>
      </c>
      <c r="DN44" s="21">
        <f t="shared" si="101"/>
        <v>100</v>
      </c>
      <c r="DO44" s="21">
        <f t="shared" si="102"/>
        <v>0</v>
      </c>
      <c r="DP44" s="21">
        <f t="shared" si="103"/>
        <v>0</v>
      </c>
      <c r="DQ44" s="21">
        <f t="shared" si="104"/>
        <v>0</v>
      </c>
      <c r="DR44" s="21">
        <f t="shared" si="105"/>
        <v>0</v>
      </c>
      <c r="DS44" s="21">
        <f t="shared" si="106"/>
        <v>0</v>
      </c>
      <c r="DT44" s="21">
        <f t="shared" si="107"/>
        <v>0</v>
      </c>
      <c r="DU44" s="21">
        <f t="shared" si="108"/>
        <v>0</v>
      </c>
      <c r="DV44" s="21">
        <f t="shared" si="109"/>
        <v>0</v>
      </c>
      <c r="DW44" s="16"/>
      <c r="DX44" s="60" t="e">
        <f t="shared" ref="DX44" ca="1" si="155">SUMA(CL44:DE44)-CR44+SUMA(DG44:DV44)</f>
        <v>#NAME?</v>
      </c>
    </row>
    <row r="45" spans="1:128" s="19" customFormat="1" ht="16" customHeight="1">
      <c r="A45" s="18"/>
      <c r="B45" s="17" t="s">
        <v>414</v>
      </c>
      <c r="C45" s="16"/>
      <c r="D45" s="16"/>
      <c r="E45" s="16"/>
      <c r="F45" s="16"/>
      <c r="G45" s="16"/>
      <c r="H45" s="20"/>
      <c r="I45" s="20"/>
      <c r="J45" s="20"/>
      <c r="K45" s="20"/>
      <c r="L45" s="20">
        <v>0.5</v>
      </c>
      <c r="M45" s="20"/>
      <c r="N45" s="20">
        <v>0.5</v>
      </c>
      <c r="O45" s="20"/>
      <c r="P45" s="20"/>
      <c r="Q45" s="20"/>
      <c r="R45" s="20"/>
      <c r="S45" s="20"/>
      <c r="T45" s="20"/>
      <c r="U45" s="20"/>
      <c r="V45" s="20"/>
      <c r="W45" s="20"/>
      <c r="X45" s="20"/>
      <c r="Y45" s="20">
        <v>4</v>
      </c>
      <c r="Z45" s="20"/>
      <c r="AA45" s="20"/>
      <c r="AB45" s="55"/>
      <c r="AC45" s="20"/>
      <c r="AD45" s="20"/>
      <c r="AE45" s="20"/>
      <c r="AF45" s="20"/>
      <c r="AG45" s="20"/>
      <c r="AH45" s="20"/>
      <c r="AI45" s="20"/>
      <c r="AJ45" s="20"/>
      <c r="AK45" s="20"/>
      <c r="AL45" s="20"/>
      <c r="AM45" s="20"/>
      <c r="AN45" s="20">
        <v>1</v>
      </c>
      <c r="AO45" s="20"/>
      <c r="AP45" s="20"/>
      <c r="AQ45" s="20"/>
      <c r="AS45" s="55"/>
      <c r="AT45" s="20"/>
      <c r="AU45" s="20">
        <v>0</v>
      </c>
      <c r="AV45" s="20"/>
      <c r="AW45" s="11">
        <f t="shared" si="119"/>
        <v>0</v>
      </c>
      <c r="AX45" s="11">
        <f t="shared" si="120"/>
        <v>0</v>
      </c>
      <c r="AY45" s="11">
        <f t="shared" si="121"/>
        <v>0</v>
      </c>
      <c r="AZ45" s="11">
        <f t="shared" si="122"/>
        <v>0</v>
      </c>
      <c r="BA45" s="11">
        <f t="shared" si="123"/>
        <v>9.2084319443800364</v>
      </c>
      <c r="BB45" s="11">
        <f t="shared" si="124"/>
        <v>0</v>
      </c>
      <c r="BC45" s="11">
        <f t="shared" si="125"/>
        <v>9.0588815351661918</v>
      </c>
      <c r="BD45" s="11">
        <f t="shared" si="126"/>
        <v>0</v>
      </c>
      <c r="BE45" s="11">
        <f t="shared" si="127"/>
        <v>0</v>
      </c>
      <c r="BF45" s="11">
        <f t="shared" si="128"/>
        <v>0</v>
      </c>
      <c r="BG45" s="11">
        <f t="shared" si="129"/>
        <v>0</v>
      </c>
      <c r="BH45" s="11">
        <f t="shared" si="130"/>
        <v>0</v>
      </c>
      <c r="BI45" s="11">
        <f t="shared" si="131"/>
        <v>0</v>
      </c>
      <c r="BJ45" s="56">
        <f t="shared" si="132"/>
        <v>0</v>
      </c>
      <c r="BK45" s="11">
        <f t="shared" si="133"/>
        <v>0</v>
      </c>
      <c r="BL45" s="34">
        <f t="shared" si="134"/>
        <v>0</v>
      </c>
      <c r="BM45" s="11">
        <f t="shared" si="135"/>
        <v>0</v>
      </c>
      <c r="BN45" s="11">
        <f t="shared" si="136"/>
        <v>0</v>
      </c>
      <c r="BO45" s="11">
        <f t="shared" si="137"/>
        <v>21.104944425196344</v>
      </c>
      <c r="BP45" s="11">
        <f t="shared" si="138"/>
        <v>0</v>
      </c>
      <c r="BQ45" s="54"/>
      <c r="BR45" s="56">
        <f t="shared" si="139"/>
        <v>0</v>
      </c>
      <c r="BS45" s="56">
        <f t="shared" si="140"/>
        <v>0</v>
      </c>
      <c r="BT45" s="56">
        <f t="shared" si="141"/>
        <v>0</v>
      </c>
      <c r="BU45" s="56">
        <f t="shared" si="142"/>
        <v>0</v>
      </c>
      <c r="BV45" s="56">
        <f t="shared" si="143"/>
        <v>0</v>
      </c>
      <c r="BW45" s="56">
        <f t="shared" si="144"/>
        <v>0</v>
      </c>
      <c r="BX45" s="56">
        <f t="shared" si="145"/>
        <v>0</v>
      </c>
      <c r="BY45" s="56">
        <f t="shared" ref="BY45" si="156">AJ45*118.71*100/(H45*28.0855+I45*47.867+J45*26.981539+K45*51.9961+L45*55.845+M45*55.845+N45*54.938044+O45*24.305+P45*58.6934+Q45*65.38+R45*40.078+S45*22.989769+T45*39.0983+U45*30.973762+AC45*58.933195+AD45*63.546+AE45*9.012182+AF45*137.327+AG45*87.62+AH45*207.2+AI45*50.9415+AJ45*118.71+AK45*91.224+AL45*88.90585+AM45*95.95+AN45*183.84+AO45*74.9216+W45*18.9984+X45*35.453+Y45*15.999+V45*32.065+Z45*1.00784+AA45*12.011+AP45*78.96+AQ45*121.75+AR45*127.6)</f>
        <v>0</v>
      </c>
      <c r="BZ45" s="56">
        <f t="shared" si="146"/>
        <v>0</v>
      </c>
      <c r="CA45" s="56">
        <f t="shared" si="147"/>
        <v>0</v>
      </c>
      <c r="CB45" s="56">
        <f t="shared" si="148"/>
        <v>0</v>
      </c>
      <c r="CC45" s="56">
        <f t="shared" si="149"/>
        <v>60.627742095257439</v>
      </c>
      <c r="CD45" s="56">
        <f t="shared" si="150"/>
        <v>0</v>
      </c>
      <c r="CE45" s="56">
        <f t="shared" si="151"/>
        <v>0</v>
      </c>
      <c r="CF45" s="56">
        <f t="shared" si="152"/>
        <v>0</v>
      </c>
      <c r="CG45" s="56">
        <f t="shared" si="153"/>
        <v>0</v>
      </c>
      <c r="CH45" s="54"/>
      <c r="CI45" s="11"/>
      <c r="CJ45" s="12">
        <f t="shared" si="73"/>
        <v>100</v>
      </c>
      <c r="CK45" s="16"/>
      <c r="CL45" s="60">
        <f t="shared" si="74"/>
        <v>0</v>
      </c>
      <c r="CM45" s="60">
        <f t="shared" si="75"/>
        <v>0</v>
      </c>
      <c r="CN45" s="60">
        <f t="shared" si="76"/>
        <v>0</v>
      </c>
      <c r="CO45" s="60">
        <f t="shared" si="77"/>
        <v>0</v>
      </c>
      <c r="CP45" s="60">
        <f t="shared" si="78"/>
        <v>0</v>
      </c>
      <c r="CQ45" s="60">
        <f t="shared" si="79"/>
        <v>11.846101589835079</v>
      </c>
      <c r="CR45" s="60">
        <f t="shared" si="80"/>
        <v>11.846101589835079</v>
      </c>
      <c r="CS45" s="60">
        <f t="shared" si="81"/>
        <v>11.696549586299913</v>
      </c>
      <c r="CT45" s="60">
        <f t="shared" si="82"/>
        <v>0</v>
      </c>
      <c r="CU45" s="60">
        <f t="shared" si="83"/>
        <v>0</v>
      </c>
      <c r="CV45" s="60">
        <f t="shared" si="84"/>
        <v>0</v>
      </c>
      <c r="CW45" s="60">
        <f t="shared" si="85"/>
        <v>0</v>
      </c>
      <c r="CX45" s="60">
        <f t="shared" si="86"/>
        <v>0</v>
      </c>
      <c r="CY45" s="60">
        <f t="shared" si="87"/>
        <v>0</v>
      </c>
      <c r="CZ45" s="60">
        <f t="shared" si="88"/>
        <v>0</v>
      </c>
      <c r="DA45" s="60">
        <f t="shared" si="89"/>
        <v>0</v>
      </c>
      <c r="DB45" s="60">
        <f t="shared" si="90"/>
        <v>0</v>
      </c>
      <c r="DC45" s="60">
        <f t="shared" si="91"/>
        <v>0</v>
      </c>
      <c r="DD45" s="60">
        <f t="shared" si="92"/>
        <v>0</v>
      </c>
      <c r="DE45" s="60">
        <f t="shared" si="93"/>
        <v>0</v>
      </c>
      <c r="DF45" s="54"/>
      <c r="DG45" s="21">
        <f t="shared" si="94"/>
        <v>0</v>
      </c>
      <c r="DH45" s="21">
        <f t="shared" si="95"/>
        <v>0</v>
      </c>
      <c r="DI45" s="21">
        <f t="shared" si="96"/>
        <v>0</v>
      </c>
      <c r="DJ45" s="21">
        <f t="shared" si="97"/>
        <v>0</v>
      </c>
      <c r="DK45" s="21">
        <f t="shared" si="98"/>
        <v>0</v>
      </c>
      <c r="DL45" s="21">
        <f t="shared" si="99"/>
        <v>0</v>
      </c>
      <c r="DM45" s="21">
        <f t="shared" si="100"/>
        <v>0</v>
      </c>
      <c r="DN45" s="21">
        <f t="shared" si="101"/>
        <v>0</v>
      </c>
      <c r="DO45" s="21">
        <f t="shared" si="102"/>
        <v>0</v>
      </c>
      <c r="DP45" s="21">
        <f t="shared" si="103"/>
        <v>0</v>
      </c>
      <c r="DQ45" s="21">
        <f t="shared" si="104"/>
        <v>0</v>
      </c>
      <c r="DR45" s="21">
        <f t="shared" si="105"/>
        <v>76.457348823865004</v>
      </c>
      <c r="DS45" s="21">
        <f t="shared" si="106"/>
        <v>0</v>
      </c>
      <c r="DT45" s="21">
        <f t="shared" si="107"/>
        <v>0</v>
      </c>
      <c r="DU45" s="21">
        <f t="shared" si="108"/>
        <v>0</v>
      </c>
      <c r="DV45" s="21">
        <f t="shared" si="109"/>
        <v>0</v>
      </c>
      <c r="DW45" s="16"/>
      <c r="DX45" s="60" t="e">
        <f t="shared" ref="DX45" ca="1" si="157">SUMA(CL45:DE45)-CR45+SUMA(DG45:DV45)</f>
        <v>#NAME?</v>
      </c>
    </row>
    <row r="46" spans="1:128" s="19" customFormat="1" ht="16" customHeight="1">
      <c r="A46" s="18"/>
      <c r="B46" s="17" t="s">
        <v>415</v>
      </c>
      <c r="C46" s="16"/>
      <c r="D46" s="16"/>
      <c r="E46" s="16"/>
      <c r="F46" s="16"/>
      <c r="G46" s="16"/>
      <c r="H46" s="20"/>
      <c r="I46" s="20"/>
      <c r="J46" s="20"/>
      <c r="K46" s="20"/>
      <c r="L46" s="20"/>
      <c r="M46" s="20"/>
      <c r="N46" s="20"/>
      <c r="O46" s="20"/>
      <c r="P46" s="20"/>
      <c r="Q46" s="20">
        <v>1</v>
      </c>
      <c r="R46" s="20">
        <v>1</v>
      </c>
      <c r="S46" s="20"/>
      <c r="T46" s="20"/>
      <c r="U46" s="20"/>
      <c r="V46" s="20"/>
      <c r="W46" s="20"/>
      <c r="X46" s="20"/>
      <c r="Y46" s="20">
        <v>5</v>
      </c>
      <c r="Z46" s="20">
        <v>1</v>
      </c>
      <c r="AA46" s="20"/>
      <c r="AB46" s="55"/>
      <c r="AC46" s="20"/>
      <c r="AD46" s="20"/>
      <c r="AE46" s="20"/>
      <c r="AF46" s="20"/>
      <c r="AG46" s="20"/>
      <c r="AH46" s="20"/>
      <c r="AI46" s="20"/>
      <c r="AJ46" s="20"/>
      <c r="AK46" s="20"/>
      <c r="AL46" s="20"/>
      <c r="AM46" s="20"/>
      <c r="AN46" s="20"/>
      <c r="AO46" s="20">
        <v>1</v>
      </c>
      <c r="AP46" s="20"/>
      <c r="AQ46" s="20"/>
      <c r="AS46" s="55"/>
      <c r="AT46" s="20"/>
      <c r="AU46" s="20">
        <v>0</v>
      </c>
      <c r="AV46" s="20"/>
      <c r="AW46" s="11">
        <f t="shared" si="119"/>
        <v>0</v>
      </c>
      <c r="AX46" s="11">
        <f t="shared" si="120"/>
        <v>0</v>
      </c>
      <c r="AY46" s="11">
        <f t="shared" si="121"/>
        <v>0</v>
      </c>
      <c r="AZ46" s="11">
        <f t="shared" si="122"/>
        <v>0</v>
      </c>
      <c r="BA46" s="11">
        <f t="shared" si="123"/>
        <v>0</v>
      </c>
      <c r="BB46" s="11">
        <f t="shared" si="124"/>
        <v>0</v>
      </c>
      <c r="BC46" s="11">
        <f t="shared" si="125"/>
        <v>0</v>
      </c>
      <c r="BD46" s="11">
        <f t="shared" si="126"/>
        <v>0</v>
      </c>
      <c r="BE46" s="11">
        <f t="shared" si="127"/>
        <v>0</v>
      </c>
      <c r="BF46" s="11">
        <f t="shared" si="128"/>
        <v>25.01315696647411</v>
      </c>
      <c r="BG46" s="11">
        <f t="shared" si="129"/>
        <v>15.333088175318895</v>
      </c>
      <c r="BH46" s="11">
        <f t="shared" si="130"/>
        <v>0</v>
      </c>
      <c r="BI46" s="11">
        <f t="shared" si="131"/>
        <v>0</v>
      </c>
      <c r="BJ46" s="56">
        <f t="shared" si="132"/>
        <v>0</v>
      </c>
      <c r="BK46" s="11">
        <f t="shared" si="133"/>
        <v>0</v>
      </c>
      <c r="BL46" s="34">
        <f t="shared" si="134"/>
        <v>0</v>
      </c>
      <c r="BM46" s="11">
        <f t="shared" si="135"/>
        <v>0</v>
      </c>
      <c r="BN46" s="11">
        <f t="shared" si="136"/>
        <v>0</v>
      </c>
      <c r="BO46" s="11">
        <f t="shared" si="137"/>
        <v>30.604580782090796</v>
      </c>
      <c r="BP46" s="11">
        <f t="shared" si="138"/>
        <v>0.38558060748074741</v>
      </c>
      <c r="BQ46" s="54"/>
      <c r="BR46" s="56">
        <f t="shared" si="139"/>
        <v>0</v>
      </c>
      <c r="BS46" s="56">
        <f t="shared" si="140"/>
        <v>0</v>
      </c>
      <c r="BT46" s="56">
        <f t="shared" si="141"/>
        <v>0</v>
      </c>
      <c r="BU46" s="56">
        <f t="shared" si="142"/>
        <v>0</v>
      </c>
      <c r="BV46" s="56">
        <f t="shared" si="143"/>
        <v>0</v>
      </c>
      <c r="BW46" s="56">
        <f t="shared" si="144"/>
        <v>0</v>
      </c>
      <c r="BX46" s="56">
        <f t="shared" si="145"/>
        <v>0</v>
      </c>
      <c r="BY46" s="56">
        <f t="shared" ref="BY46" si="158">AJ46*118.71*100/(H46*28.0855+I46*47.867+J46*26.981539+K46*51.9961+L46*55.845+M46*55.845+N46*54.938044+O46*24.305+P46*58.6934+Q46*65.38+R46*40.078+S46*22.989769+T46*39.0983+U46*30.973762+AC46*58.933195+AD46*63.546+AE46*9.012182+AF46*137.327+AG46*87.62+AH46*207.2+AI46*50.9415+AJ46*118.71+AK46*91.224+AL46*88.90585+AM46*95.95+AN46*183.84+AO46*74.9216+W46*18.9984+X46*35.453+Y46*15.999+V46*32.065+Z46*1.00784+AA46*12.011+AP46*78.96+AQ46*121.75+AR46*127.6)</f>
        <v>0</v>
      </c>
      <c r="BZ46" s="56">
        <f t="shared" si="146"/>
        <v>0</v>
      </c>
      <c r="CA46" s="56">
        <f t="shared" si="147"/>
        <v>0</v>
      </c>
      <c r="CB46" s="56">
        <f t="shared" si="148"/>
        <v>0</v>
      </c>
      <c r="CC46" s="56">
        <f t="shared" si="149"/>
        <v>0</v>
      </c>
      <c r="CD46" s="56">
        <f t="shared" si="150"/>
        <v>28.663593468635462</v>
      </c>
      <c r="CE46" s="56">
        <f t="shared" si="151"/>
        <v>0</v>
      </c>
      <c r="CF46" s="56">
        <f t="shared" si="152"/>
        <v>0</v>
      </c>
      <c r="CG46" s="56">
        <f t="shared" si="153"/>
        <v>0</v>
      </c>
      <c r="CH46" s="54"/>
      <c r="CI46" s="11"/>
      <c r="CJ46" s="12">
        <f t="shared" si="73"/>
        <v>100</v>
      </c>
      <c r="CK46" s="16"/>
      <c r="CL46" s="60">
        <f t="shared" si="74"/>
        <v>0</v>
      </c>
      <c r="CM46" s="60">
        <f t="shared" si="75"/>
        <v>0</v>
      </c>
      <c r="CN46" s="60">
        <f t="shared" si="76"/>
        <v>0</v>
      </c>
      <c r="CO46" s="60">
        <f t="shared" si="77"/>
        <v>0</v>
      </c>
      <c r="CP46" s="60">
        <f t="shared" si="78"/>
        <v>0</v>
      </c>
      <c r="CQ46" s="60">
        <f t="shared" si="79"/>
        <v>0</v>
      </c>
      <c r="CR46" s="60">
        <f t="shared" si="80"/>
        <v>0</v>
      </c>
      <c r="CS46" s="60">
        <f t="shared" si="81"/>
        <v>0</v>
      </c>
      <c r="CT46" s="60">
        <f t="shared" si="82"/>
        <v>0</v>
      </c>
      <c r="CU46" s="60">
        <f t="shared" si="83"/>
        <v>0</v>
      </c>
      <c r="CV46" s="60">
        <f t="shared" si="84"/>
        <v>31.1341686406079</v>
      </c>
      <c r="CW46" s="60">
        <f t="shared" si="85"/>
        <v>21.453806523216631</v>
      </c>
      <c r="CX46" s="60">
        <f t="shared" si="86"/>
        <v>0</v>
      </c>
      <c r="CY46" s="60">
        <f t="shared" si="87"/>
        <v>0</v>
      </c>
      <c r="CZ46" s="60">
        <f t="shared" si="88"/>
        <v>0</v>
      </c>
      <c r="DA46" s="60">
        <f t="shared" si="89"/>
        <v>0</v>
      </c>
      <c r="DB46" s="60">
        <f t="shared" si="90"/>
        <v>0</v>
      </c>
      <c r="DC46" s="60">
        <f t="shared" si="91"/>
        <v>0</v>
      </c>
      <c r="DD46" s="60">
        <f t="shared" si="92"/>
        <v>3.4460681252184289</v>
      </c>
      <c r="DE46" s="60">
        <f t="shared" si="93"/>
        <v>0</v>
      </c>
      <c r="DF46" s="54"/>
      <c r="DG46" s="21">
        <f t="shared" si="94"/>
        <v>0</v>
      </c>
      <c r="DH46" s="21">
        <f t="shared" si="95"/>
        <v>0</v>
      </c>
      <c r="DI46" s="21">
        <f t="shared" si="96"/>
        <v>0</v>
      </c>
      <c r="DJ46" s="21">
        <f t="shared" si="97"/>
        <v>0</v>
      </c>
      <c r="DK46" s="21">
        <f t="shared" si="98"/>
        <v>0</v>
      </c>
      <c r="DL46" s="21">
        <f t="shared" si="99"/>
        <v>0</v>
      </c>
      <c r="DM46" s="21">
        <f t="shared" si="100"/>
        <v>0</v>
      </c>
      <c r="DN46" s="21">
        <f t="shared" si="101"/>
        <v>0</v>
      </c>
      <c r="DO46" s="21">
        <f t="shared" si="102"/>
        <v>0</v>
      </c>
      <c r="DP46" s="21">
        <f t="shared" si="103"/>
        <v>0</v>
      </c>
      <c r="DQ46" s="21">
        <f t="shared" si="104"/>
        <v>0</v>
      </c>
      <c r="DR46" s="21">
        <f t="shared" si="105"/>
        <v>0</v>
      </c>
      <c r="DS46" s="21">
        <f t="shared" si="106"/>
        <v>43.965956710957052</v>
      </c>
      <c r="DT46" s="21">
        <f t="shared" si="107"/>
        <v>0</v>
      </c>
      <c r="DU46" s="21">
        <f t="shared" si="108"/>
        <v>0</v>
      </c>
      <c r="DV46" s="21">
        <f t="shared" si="109"/>
        <v>0</v>
      </c>
      <c r="DW46" s="16"/>
      <c r="DX46" s="60" t="e">
        <f t="shared" ref="DX46" ca="1" si="159">SUMA(CL46:DE46)-CR46+SUMA(DG46:DV46)</f>
        <v>#NAME?</v>
      </c>
    </row>
    <row r="47" spans="1:128" s="19" customFormat="1" ht="16" customHeight="1">
      <c r="A47" s="18"/>
      <c r="B47" s="17" t="s">
        <v>416</v>
      </c>
      <c r="C47" s="16"/>
      <c r="D47" s="16"/>
      <c r="E47" s="16"/>
      <c r="F47" s="16"/>
      <c r="G47" s="16"/>
      <c r="H47" s="20">
        <v>6</v>
      </c>
      <c r="I47" s="20"/>
      <c r="J47" s="20">
        <v>2</v>
      </c>
      <c r="K47" s="20"/>
      <c r="L47" s="20"/>
      <c r="M47" s="20"/>
      <c r="N47" s="20"/>
      <c r="O47" s="20"/>
      <c r="P47" s="20"/>
      <c r="Q47" s="20"/>
      <c r="R47" s="20"/>
      <c r="S47" s="20"/>
      <c r="T47" s="20"/>
      <c r="U47" s="20"/>
      <c r="V47" s="20"/>
      <c r="W47" s="20"/>
      <c r="X47" s="20"/>
      <c r="Y47" s="20">
        <v>18</v>
      </c>
      <c r="Z47" s="20"/>
      <c r="AA47" s="20"/>
      <c r="AB47" s="55"/>
      <c r="AC47" s="20"/>
      <c r="AD47" s="20"/>
      <c r="AE47" s="20">
        <v>3</v>
      </c>
      <c r="AF47" s="20"/>
      <c r="AG47" s="20"/>
      <c r="AH47" s="20"/>
      <c r="AI47" s="20"/>
      <c r="AJ47" s="20"/>
      <c r="AK47" s="20"/>
      <c r="AL47" s="20"/>
      <c r="AM47" s="20"/>
      <c r="AN47" s="20"/>
      <c r="AO47" s="20"/>
      <c r="AP47" s="20"/>
      <c r="AQ47" s="20"/>
      <c r="AS47" s="55"/>
      <c r="AT47" s="20"/>
      <c r="AU47" s="20">
        <v>0</v>
      </c>
      <c r="AV47" s="20"/>
      <c r="AW47" s="11">
        <f t="shared" si="119"/>
        <v>31.351569387975864</v>
      </c>
      <c r="AX47" s="11">
        <f t="shared" si="120"/>
        <v>0</v>
      </c>
      <c r="AY47" s="11">
        <f t="shared" si="121"/>
        <v>10.039742834711589</v>
      </c>
      <c r="AZ47" s="11">
        <f t="shared" si="122"/>
        <v>0</v>
      </c>
      <c r="BA47" s="11">
        <f t="shared" si="123"/>
        <v>0</v>
      </c>
      <c r="BB47" s="11">
        <f t="shared" si="124"/>
        <v>0</v>
      </c>
      <c r="BC47" s="11">
        <f t="shared" si="125"/>
        <v>0</v>
      </c>
      <c r="BD47" s="11">
        <f t="shared" si="126"/>
        <v>0</v>
      </c>
      <c r="BE47" s="11">
        <f t="shared" si="127"/>
        <v>0</v>
      </c>
      <c r="BF47" s="11">
        <f t="shared" si="128"/>
        <v>0</v>
      </c>
      <c r="BG47" s="11">
        <f t="shared" si="129"/>
        <v>0</v>
      </c>
      <c r="BH47" s="11">
        <f t="shared" si="130"/>
        <v>0</v>
      </c>
      <c r="BI47" s="11">
        <f t="shared" si="131"/>
        <v>0</v>
      </c>
      <c r="BJ47" s="56">
        <f t="shared" si="132"/>
        <v>0</v>
      </c>
      <c r="BK47" s="11">
        <f t="shared" si="133"/>
        <v>0</v>
      </c>
      <c r="BL47" s="34">
        <f t="shared" si="134"/>
        <v>0</v>
      </c>
      <c r="BM47" s="11">
        <f t="shared" si="135"/>
        <v>0</v>
      </c>
      <c r="BN47" s="11">
        <f t="shared" si="136"/>
        <v>0</v>
      </c>
      <c r="BO47" s="11">
        <f t="shared" si="137"/>
        <v>53.578582397132962</v>
      </c>
      <c r="BP47" s="11">
        <f t="shared" si="138"/>
        <v>0</v>
      </c>
      <c r="BQ47" s="54"/>
      <c r="BR47" s="56">
        <f t="shared" si="139"/>
        <v>0</v>
      </c>
      <c r="BS47" s="56">
        <f t="shared" si="140"/>
        <v>0</v>
      </c>
      <c r="BT47" s="56">
        <f t="shared" si="141"/>
        <v>5.0301053801795783</v>
      </c>
      <c r="BU47" s="56">
        <f t="shared" si="142"/>
        <v>0</v>
      </c>
      <c r="BV47" s="56">
        <f t="shared" si="143"/>
        <v>0</v>
      </c>
      <c r="BW47" s="56">
        <f t="shared" si="144"/>
        <v>0</v>
      </c>
      <c r="BX47" s="56">
        <f t="shared" si="145"/>
        <v>0</v>
      </c>
      <c r="BY47" s="56">
        <f t="shared" ref="BY47" si="160">AJ47*118.71*100/(H47*28.0855+I47*47.867+J47*26.981539+K47*51.9961+L47*55.845+M47*55.845+N47*54.938044+O47*24.305+P47*58.6934+Q47*65.38+R47*40.078+S47*22.989769+T47*39.0983+U47*30.973762+AC47*58.933195+AD47*63.546+AE47*9.012182+AF47*137.327+AG47*87.62+AH47*207.2+AI47*50.9415+AJ47*118.71+AK47*91.224+AL47*88.90585+AM47*95.95+AN47*183.84+AO47*74.9216+W47*18.9984+X47*35.453+Y47*15.999+V47*32.065+Z47*1.00784+AA47*12.011+AP47*78.96+AQ47*121.75+AR47*127.6)</f>
        <v>0</v>
      </c>
      <c r="BZ47" s="56">
        <f t="shared" si="146"/>
        <v>0</v>
      </c>
      <c r="CA47" s="56">
        <f t="shared" si="147"/>
        <v>0</v>
      </c>
      <c r="CB47" s="56">
        <f t="shared" si="148"/>
        <v>0</v>
      </c>
      <c r="CC47" s="56">
        <f t="shared" si="149"/>
        <v>0</v>
      </c>
      <c r="CD47" s="56">
        <f t="shared" si="150"/>
        <v>0</v>
      </c>
      <c r="CE47" s="56">
        <f t="shared" si="151"/>
        <v>0</v>
      </c>
      <c r="CF47" s="56">
        <f t="shared" si="152"/>
        <v>0</v>
      </c>
      <c r="CG47" s="56">
        <f t="shared" si="153"/>
        <v>0</v>
      </c>
      <c r="CH47" s="54"/>
      <c r="CI47" s="11"/>
      <c r="CJ47" s="12">
        <f t="shared" si="73"/>
        <v>100</v>
      </c>
      <c r="CK47" s="16"/>
      <c r="CL47" s="60">
        <f t="shared" si="74"/>
        <v>67.070499149674575</v>
      </c>
      <c r="CM47" s="60">
        <f t="shared" si="75"/>
        <v>0</v>
      </c>
      <c r="CN47" s="60">
        <f t="shared" si="76"/>
        <v>18.969484842886541</v>
      </c>
      <c r="CO47" s="60">
        <f t="shared" si="77"/>
        <v>0</v>
      </c>
      <c r="CP47" s="60">
        <f t="shared" si="78"/>
        <v>0</v>
      </c>
      <c r="CQ47" s="60">
        <f t="shared" si="79"/>
        <v>0</v>
      </c>
      <c r="CR47" s="60">
        <f t="shared" si="80"/>
        <v>0</v>
      </c>
      <c r="CS47" s="60">
        <f t="shared" si="81"/>
        <v>0</v>
      </c>
      <c r="CT47" s="60">
        <f t="shared" si="82"/>
        <v>0</v>
      </c>
      <c r="CU47" s="60">
        <f t="shared" si="83"/>
        <v>0</v>
      </c>
      <c r="CV47" s="60">
        <f t="shared" si="84"/>
        <v>0</v>
      </c>
      <c r="CW47" s="60">
        <f t="shared" si="85"/>
        <v>0</v>
      </c>
      <c r="CX47" s="60">
        <f t="shared" si="86"/>
        <v>0</v>
      </c>
      <c r="CY47" s="60">
        <f t="shared" si="87"/>
        <v>0</v>
      </c>
      <c r="CZ47" s="60">
        <f t="shared" si="88"/>
        <v>0</v>
      </c>
      <c r="DA47" s="60">
        <f t="shared" si="89"/>
        <v>0</v>
      </c>
      <c r="DB47" s="60">
        <f t="shared" si="90"/>
        <v>0</v>
      </c>
      <c r="DC47" s="60">
        <f t="shared" si="91"/>
        <v>0</v>
      </c>
      <c r="DD47" s="60">
        <f t="shared" si="92"/>
        <v>0</v>
      </c>
      <c r="DE47" s="60">
        <f t="shared" si="93"/>
        <v>0</v>
      </c>
      <c r="DF47" s="54"/>
      <c r="DG47" s="21">
        <f t="shared" si="94"/>
        <v>0</v>
      </c>
      <c r="DH47" s="21">
        <f t="shared" si="95"/>
        <v>0</v>
      </c>
      <c r="DI47" s="21">
        <f t="shared" si="96"/>
        <v>13.960016007438883</v>
      </c>
      <c r="DJ47" s="21">
        <f t="shared" si="97"/>
        <v>0</v>
      </c>
      <c r="DK47" s="21">
        <f t="shared" si="98"/>
        <v>0</v>
      </c>
      <c r="DL47" s="21">
        <f t="shared" si="99"/>
        <v>0</v>
      </c>
      <c r="DM47" s="21">
        <f t="shared" si="100"/>
        <v>0</v>
      </c>
      <c r="DN47" s="21">
        <f t="shared" si="101"/>
        <v>0</v>
      </c>
      <c r="DO47" s="21">
        <f t="shared" si="102"/>
        <v>0</v>
      </c>
      <c r="DP47" s="21">
        <f t="shared" si="103"/>
        <v>0</v>
      </c>
      <c r="DQ47" s="21">
        <f t="shared" si="104"/>
        <v>0</v>
      </c>
      <c r="DR47" s="21">
        <f t="shared" si="105"/>
        <v>0</v>
      </c>
      <c r="DS47" s="21">
        <f t="shared" si="106"/>
        <v>0</v>
      </c>
      <c r="DT47" s="21">
        <f t="shared" si="107"/>
        <v>0</v>
      </c>
      <c r="DU47" s="21">
        <f t="shared" si="108"/>
        <v>0</v>
      </c>
      <c r="DV47" s="21">
        <f t="shared" si="109"/>
        <v>0</v>
      </c>
      <c r="DW47" s="16"/>
      <c r="DX47" s="60" t="e">
        <f t="shared" ref="DX47" ca="1" si="161">SUMA(CL47:DE47)-CR47+SUMA(DG47:DV47)</f>
        <v>#NAME?</v>
      </c>
    </row>
    <row r="48" spans="1:128" s="19" customFormat="1" ht="16" customHeight="1">
      <c r="A48" s="18"/>
      <c r="B48" s="17" t="s">
        <v>417</v>
      </c>
      <c r="C48" s="16"/>
      <c r="D48" s="16"/>
      <c r="E48" s="16"/>
      <c r="F48" s="16"/>
      <c r="G48" s="16"/>
      <c r="H48" s="20"/>
      <c r="I48" s="20"/>
      <c r="J48" s="20"/>
      <c r="K48" s="20"/>
      <c r="L48" s="20"/>
      <c r="M48" s="20"/>
      <c r="N48" s="20"/>
      <c r="O48" s="20"/>
      <c r="P48" s="20"/>
      <c r="Q48" s="20"/>
      <c r="R48" s="20">
        <v>1</v>
      </c>
      <c r="S48" s="20">
        <v>1</v>
      </c>
      <c r="T48" s="20"/>
      <c r="U48" s="20"/>
      <c r="V48" s="20"/>
      <c r="W48" s="20"/>
      <c r="X48" s="20"/>
      <c r="Y48" s="20">
        <v>21</v>
      </c>
      <c r="Z48" s="20">
        <v>6</v>
      </c>
      <c r="AA48" s="20">
        <v>6</v>
      </c>
      <c r="AB48" s="55"/>
      <c r="AC48" s="20"/>
      <c r="AD48" s="20"/>
      <c r="AE48" s="20"/>
      <c r="AF48" s="20"/>
      <c r="AG48" s="20">
        <v>3</v>
      </c>
      <c r="AH48" s="20"/>
      <c r="AI48" s="20"/>
      <c r="AJ48" s="20"/>
      <c r="AK48" s="20"/>
      <c r="AL48" s="20">
        <v>1</v>
      </c>
      <c r="AM48" s="20"/>
      <c r="AN48" s="20"/>
      <c r="AO48" s="20"/>
      <c r="AP48" s="20"/>
      <c r="AQ48" s="20"/>
      <c r="AS48" s="55"/>
      <c r="AT48" s="20"/>
      <c r="AU48" s="20">
        <v>0</v>
      </c>
      <c r="AV48" s="20"/>
      <c r="AW48" s="11">
        <f t="shared" si="119"/>
        <v>0</v>
      </c>
      <c r="AX48" s="11">
        <f t="shared" si="120"/>
        <v>0</v>
      </c>
      <c r="AY48" s="11">
        <f t="shared" si="121"/>
        <v>0</v>
      </c>
      <c r="AZ48" s="11">
        <f t="shared" si="122"/>
        <v>0</v>
      </c>
      <c r="BA48" s="11">
        <f t="shared" si="123"/>
        <v>0</v>
      </c>
      <c r="BB48" s="11">
        <f t="shared" si="124"/>
        <v>0</v>
      </c>
      <c r="BC48" s="11">
        <f t="shared" si="125"/>
        <v>0</v>
      </c>
      <c r="BD48" s="11">
        <f t="shared" si="126"/>
        <v>0</v>
      </c>
      <c r="BE48" s="11">
        <f t="shared" si="127"/>
        <v>0</v>
      </c>
      <c r="BF48" s="11">
        <f t="shared" si="128"/>
        <v>0</v>
      </c>
      <c r="BG48" s="11">
        <f t="shared" si="129"/>
        <v>4.8349329719566558</v>
      </c>
      <c r="BH48" s="11">
        <f t="shared" si="130"/>
        <v>2.7734415927882381</v>
      </c>
      <c r="BI48" s="11">
        <f t="shared" si="131"/>
        <v>0</v>
      </c>
      <c r="BJ48" s="56">
        <f t="shared" si="132"/>
        <v>0</v>
      </c>
      <c r="BK48" s="11">
        <f t="shared" si="133"/>
        <v>0</v>
      </c>
      <c r="BL48" s="34">
        <f t="shared" si="134"/>
        <v>0</v>
      </c>
      <c r="BM48" s="11">
        <f t="shared" si="135"/>
        <v>0</v>
      </c>
      <c r="BN48" s="11">
        <f t="shared" si="136"/>
        <v>8.6939038763667948</v>
      </c>
      <c r="BO48" s="11">
        <f t="shared" si="137"/>
        <v>40.531861494710945</v>
      </c>
      <c r="BP48" s="11">
        <f t="shared" si="138"/>
        <v>0.72950329554221216</v>
      </c>
      <c r="BQ48" s="54"/>
      <c r="BR48" s="56">
        <f t="shared" si="139"/>
        <v>0</v>
      </c>
      <c r="BS48" s="56">
        <f t="shared" si="140"/>
        <v>0</v>
      </c>
      <c r="BT48" s="56">
        <f t="shared" si="141"/>
        <v>0</v>
      </c>
      <c r="BU48" s="56">
        <f t="shared" si="142"/>
        <v>0</v>
      </c>
      <c r="BV48" s="56">
        <f t="shared" si="143"/>
        <v>31.710925720059048</v>
      </c>
      <c r="BW48" s="56">
        <f t="shared" si="144"/>
        <v>0</v>
      </c>
      <c r="BX48" s="56">
        <f t="shared" si="145"/>
        <v>0</v>
      </c>
      <c r="BY48" s="56">
        <f t="shared" ref="BY48" si="162">AJ48*118.71*100/(H48*28.0855+I48*47.867+J48*26.981539+K48*51.9961+L48*55.845+M48*55.845+N48*54.938044+O48*24.305+P48*58.6934+Q48*65.38+R48*40.078+S48*22.989769+T48*39.0983+U48*30.973762+AC48*58.933195+AD48*63.546+AE48*9.012182+AF48*137.327+AG48*87.62+AH48*207.2+AI48*50.9415+AJ48*118.71+AK48*91.224+AL48*88.90585+AM48*95.95+AN48*183.84+AO48*74.9216+W48*18.9984+X48*35.453+Y48*15.999+V48*32.065+Z48*1.00784+AA48*12.011+AP48*78.96+AQ48*121.75+AR48*127.6)</f>
        <v>0</v>
      </c>
      <c r="BZ48" s="56">
        <f t="shared" si="146"/>
        <v>0</v>
      </c>
      <c r="CA48" s="56">
        <f t="shared" si="147"/>
        <v>10.725431048576095</v>
      </c>
      <c r="CB48" s="56">
        <f t="shared" si="148"/>
        <v>0</v>
      </c>
      <c r="CC48" s="56">
        <f t="shared" si="149"/>
        <v>0</v>
      </c>
      <c r="CD48" s="56">
        <f t="shared" si="150"/>
        <v>0</v>
      </c>
      <c r="CE48" s="56">
        <f t="shared" si="151"/>
        <v>0</v>
      </c>
      <c r="CF48" s="56">
        <f t="shared" si="152"/>
        <v>0</v>
      </c>
      <c r="CG48" s="56">
        <f t="shared" si="153"/>
        <v>0</v>
      </c>
      <c r="CH48" s="54"/>
      <c r="CI48" s="11"/>
      <c r="CJ48" s="12">
        <f t="shared" si="73"/>
        <v>99.999999999999986</v>
      </c>
      <c r="CK48" s="16"/>
      <c r="CL48" s="60">
        <f t="shared" si="74"/>
        <v>0</v>
      </c>
      <c r="CM48" s="60">
        <f t="shared" si="75"/>
        <v>0</v>
      </c>
      <c r="CN48" s="60">
        <f t="shared" si="76"/>
        <v>0</v>
      </c>
      <c r="CO48" s="60">
        <f t="shared" si="77"/>
        <v>0</v>
      </c>
      <c r="CP48" s="60">
        <f t="shared" si="78"/>
        <v>0</v>
      </c>
      <c r="CQ48" s="60">
        <f t="shared" si="79"/>
        <v>0</v>
      </c>
      <c r="CR48" s="60">
        <f t="shared" si="80"/>
        <v>0</v>
      </c>
      <c r="CS48" s="60">
        <f t="shared" si="81"/>
        <v>0</v>
      </c>
      <c r="CT48" s="60">
        <f t="shared" si="82"/>
        <v>0</v>
      </c>
      <c r="CU48" s="60">
        <f t="shared" si="83"/>
        <v>0</v>
      </c>
      <c r="CV48" s="60">
        <f t="shared" si="84"/>
        <v>0</v>
      </c>
      <c r="CW48" s="60">
        <f t="shared" si="85"/>
        <v>6.7649515024864755</v>
      </c>
      <c r="CX48" s="60">
        <f t="shared" si="86"/>
        <v>3.7384750358668373</v>
      </c>
      <c r="CY48" s="60">
        <f t="shared" si="87"/>
        <v>0</v>
      </c>
      <c r="CZ48" s="60">
        <f t="shared" si="88"/>
        <v>0</v>
      </c>
      <c r="DA48" s="60">
        <f t="shared" si="89"/>
        <v>0</v>
      </c>
      <c r="DB48" s="60">
        <f t="shared" si="90"/>
        <v>0</v>
      </c>
      <c r="DC48" s="60">
        <f t="shared" si="91"/>
        <v>0</v>
      </c>
      <c r="DD48" s="60">
        <f t="shared" si="92"/>
        <v>6.5198174644128883</v>
      </c>
      <c r="DE48" s="60">
        <f t="shared" si="93"/>
        <v>31.855361266590204</v>
      </c>
      <c r="DF48" s="54"/>
      <c r="DG48" s="21">
        <f t="shared" si="94"/>
        <v>0</v>
      </c>
      <c r="DH48" s="21">
        <f t="shared" si="95"/>
        <v>0</v>
      </c>
      <c r="DI48" s="21">
        <f t="shared" si="96"/>
        <v>0</v>
      </c>
      <c r="DJ48" s="21">
        <f t="shared" si="97"/>
        <v>0</v>
      </c>
      <c r="DK48" s="21">
        <f t="shared" si="98"/>
        <v>37.500983944142732</v>
      </c>
      <c r="DL48" s="21">
        <f t="shared" si="99"/>
        <v>0</v>
      </c>
      <c r="DM48" s="21">
        <f t="shared" si="100"/>
        <v>0</v>
      </c>
      <c r="DN48" s="21">
        <f t="shared" si="101"/>
        <v>0</v>
      </c>
      <c r="DO48" s="21">
        <f t="shared" si="102"/>
        <v>0</v>
      </c>
      <c r="DP48" s="21">
        <f t="shared" si="103"/>
        <v>13.620410786500859</v>
      </c>
      <c r="DQ48" s="21">
        <f t="shared" si="104"/>
        <v>0</v>
      </c>
      <c r="DR48" s="21">
        <f t="shared" si="105"/>
        <v>0</v>
      </c>
      <c r="DS48" s="21">
        <f t="shared" si="106"/>
        <v>0</v>
      </c>
      <c r="DT48" s="21">
        <f t="shared" si="107"/>
        <v>0</v>
      </c>
      <c r="DU48" s="21">
        <f t="shared" si="108"/>
        <v>0</v>
      </c>
      <c r="DV48" s="21">
        <f t="shared" si="109"/>
        <v>0</v>
      </c>
      <c r="DW48" s="16"/>
      <c r="DX48" s="60" t="e">
        <f t="shared" ref="DX48" ca="1" si="163">SUMA(CL48:DE48)-CR48+SUMA(DG48:DV48)</f>
        <v>#NAME?</v>
      </c>
    </row>
    <row r="49" spans="1:128" s="19" customFormat="1" ht="16" customHeight="1">
      <c r="A49" s="18"/>
      <c r="B49" s="17" t="s">
        <v>418</v>
      </c>
      <c r="C49" s="16"/>
      <c r="D49" s="16"/>
      <c r="E49" s="16"/>
      <c r="F49" s="16"/>
      <c r="G49" s="16"/>
      <c r="H49" s="20"/>
      <c r="I49" s="20"/>
      <c r="J49" s="20"/>
      <c r="K49" s="20"/>
      <c r="L49" s="20"/>
      <c r="M49" s="20"/>
      <c r="N49" s="20"/>
      <c r="O49" s="20"/>
      <c r="P49" s="20"/>
      <c r="Q49" s="20"/>
      <c r="R49" s="20">
        <v>1</v>
      </c>
      <c r="S49" s="20"/>
      <c r="T49" s="20"/>
      <c r="U49" s="20"/>
      <c r="V49" s="20"/>
      <c r="W49" s="20"/>
      <c r="X49" s="20"/>
      <c r="Y49" s="20">
        <v>4</v>
      </c>
      <c r="Z49" s="20"/>
      <c r="AA49" s="20"/>
      <c r="AB49" s="55"/>
      <c r="AC49" s="20"/>
      <c r="AD49" s="20"/>
      <c r="AE49" s="20"/>
      <c r="AF49" s="20"/>
      <c r="AG49" s="20"/>
      <c r="AH49" s="20"/>
      <c r="AI49" s="20"/>
      <c r="AJ49" s="20"/>
      <c r="AK49" s="20"/>
      <c r="AL49" s="20"/>
      <c r="AM49" s="20">
        <v>1</v>
      </c>
      <c r="AN49" s="20"/>
      <c r="AO49" s="20"/>
      <c r="AP49" s="20"/>
      <c r="AQ49" s="20"/>
      <c r="AS49" s="55"/>
      <c r="AT49" s="20"/>
      <c r="AU49" s="20">
        <v>0</v>
      </c>
      <c r="AV49" s="20"/>
      <c r="AW49" s="11">
        <f t="shared" si="119"/>
        <v>0</v>
      </c>
      <c r="AX49" s="11">
        <f t="shared" si="120"/>
        <v>0</v>
      </c>
      <c r="AY49" s="11">
        <f t="shared" si="121"/>
        <v>0</v>
      </c>
      <c r="AZ49" s="11">
        <f t="shared" si="122"/>
        <v>0</v>
      </c>
      <c r="BA49" s="11">
        <f t="shared" si="123"/>
        <v>0</v>
      </c>
      <c r="BB49" s="11">
        <f t="shared" si="124"/>
        <v>0</v>
      </c>
      <c r="BC49" s="11">
        <f t="shared" si="125"/>
        <v>0</v>
      </c>
      <c r="BD49" s="11">
        <f t="shared" si="126"/>
        <v>0</v>
      </c>
      <c r="BE49" s="11">
        <f t="shared" si="127"/>
        <v>0</v>
      </c>
      <c r="BF49" s="11">
        <f t="shared" si="128"/>
        <v>0</v>
      </c>
      <c r="BG49" s="11">
        <f t="shared" si="129"/>
        <v>20.036595608526973</v>
      </c>
      <c r="BH49" s="11">
        <f t="shared" si="130"/>
        <v>0</v>
      </c>
      <c r="BI49" s="11">
        <f t="shared" si="131"/>
        <v>0</v>
      </c>
      <c r="BJ49" s="56">
        <f t="shared" si="132"/>
        <v>0</v>
      </c>
      <c r="BK49" s="11">
        <f t="shared" si="133"/>
        <v>0</v>
      </c>
      <c r="BL49" s="34">
        <f t="shared" si="134"/>
        <v>0</v>
      </c>
      <c r="BM49" s="11">
        <f t="shared" si="135"/>
        <v>0</v>
      </c>
      <c r="BN49" s="11">
        <f t="shared" si="136"/>
        <v>0</v>
      </c>
      <c r="BO49" s="11">
        <f t="shared" si="137"/>
        <v>31.994160700715913</v>
      </c>
      <c r="BP49" s="11">
        <f t="shared" si="138"/>
        <v>0</v>
      </c>
      <c r="BQ49" s="54"/>
      <c r="BR49" s="56">
        <f t="shared" si="139"/>
        <v>0</v>
      </c>
      <c r="BS49" s="56">
        <f t="shared" si="140"/>
        <v>0</v>
      </c>
      <c r="BT49" s="56">
        <f t="shared" si="141"/>
        <v>0</v>
      </c>
      <c r="BU49" s="56">
        <f t="shared" si="142"/>
        <v>0</v>
      </c>
      <c r="BV49" s="56">
        <f t="shared" si="143"/>
        <v>0</v>
      </c>
      <c r="BW49" s="56">
        <f t="shared" si="144"/>
        <v>0</v>
      </c>
      <c r="BX49" s="56">
        <f t="shared" si="145"/>
        <v>0</v>
      </c>
      <c r="BY49" s="56">
        <f t="shared" ref="BY49" si="164">AJ49*118.71*100/(H49*28.0855+I49*47.867+J49*26.981539+K49*51.9961+L49*55.845+M49*55.845+N49*54.938044+O49*24.305+P49*58.6934+Q49*65.38+R49*40.078+S49*22.989769+T49*39.0983+U49*30.973762+AC49*58.933195+AD49*63.546+AE49*9.012182+AF49*137.327+AG49*87.62+AH49*207.2+AI49*50.9415+AJ49*118.71+AK49*91.224+AL49*88.90585+AM49*95.95+AN49*183.84+AO49*74.9216+W49*18.9984+X49*35.453+Y49*15.999+V49*32.065+Z49*1.00784+AA49*12.011+AP49*78.96+AQ49*121.75+AR49*127.6)</f>
        <v>0</v>
      </c>
      <c r="BZ49" s="56">
        <f t="shared" si="146"/>
        <v>0</v>
      </c>
      <c r="CA49" s="56">
        <f t="shared" si="147"/>
        <v>0</v>
      </c>
      <c r="CB49" s="56">
        <f t="shared" si="148"/>
        <v>47.969243690757104</v>
      </c>
      <c r="CC49" s="56">
        <f t="shared" si="149"/>
        <v>0</v>
      </c>
      <c r="CD49" s="56">
        <f t="shared" si="150"/>
        <v>0</v>
      </c>
      <c r="CE49" s="56">
        <f t="shared" si="151"/>
        <v>0</v>
      </c>
      <c r="CF49" s="56">
        <f t="shared" si="152"/>
        <v>0</v>
      </c>
      <c r="CG49" s="56">
        <f t="shared" si="153"/>
        <v>0</v>
      </c>
      <c r="CH49" s="54"/>
      <c r="CI49" s="11"/>
      <c r="CJ49" s="12">
        <f t="shared" si="73"/>
        <v>100</v>
      </c>
      <c r="CK49" s="16"/>
      <c r="CL49" s="60">
        <f t="shared" si="74"/>
        <v>0</v>
      </c>
      <c r="CM49" s="60">
        <f t="shared" si="75"/>
        <v>0</v>
      </c>
      <c r="CN49" s="60">
        <f t="shared" si="76"/>
        <v>0</v>
      </c>
      <c r="CO49" s="60">
        <f t="shared" si="77"/>
        <v>0</v>
      </c>
      <c r="CP49" s="60">
        <f t="shared" si="78"/>
        <v>0</v>
      </c>
      <c r="CQ49" s="60">
        <f t="shared" si="79"/>
        <v>0</v>
      </c>
      <c r="CR49" s="60">
        <f t="shared" si="80"/>
        <v>0</v>
      </c>
      <c r="CS49" s="60">
        <f t="shared" si="81"/>
        <v>0</v>
      </c>
      <c r="CT49" s="60">
        <f t="shared" si="82"/>
        <v>0</v>
      </c>
      <c r="CU49" s="60">
        <f t="shared" si="83"/>
        <v>0</v>
      </c>
      <c r="CV49" s="60">
        <f t="shared" si="84"/>
        <v>0</v>
      </c>
      <c r="CW49" s="60">
        <f t="shared" si="85"/>
        <v>28.036327184643188</v>
      </c>
      <c r="CX49" s="60">
        <f t="shared" si="86"/>
        <v>0</v>
      </c>
      <c r="CY49" s="60">
        <f t="shared" si="87"/>
        <v>0</v>
      </c>
      <c r="CZ49" s="60">
        <f t="shared" si="88"/>
        <v>0</v>
      </c>
      <c r="DA49" s="60">
        <f t="shared" si="89"/>
        <v>0</v>
      </c>
      <c r="DB49" s="60">
        <f t="shared" si="90"/>
        <v>0</v>
      </c>
      <c r="DC49" s="60">
        <f t="shared" si="91"/>
        <v>0</v>
      </c>
      <c r="DD49" s="60">
        <f t="shared" si="92"/>
        <v>0</v>
      </c>
      <c r="DE49" s="60">
        <f t="shared" si="93"/>
        <v>0</v>
      </c>
      <c r="DF49" s="54"/>
      <c r="DG49" s="21">
        <f t="shared" si="94"/>
        <v>0</v>
      </c>
      <c r="DH49" s="21">
        <f t="shared" si="95"/>
        <v>0</v>
      </c>
      <c r="DI49" s="21">
        <f t="shared" si="96"/>
        <v>0</v>
      </c>
      <c r="DJ49" s="21">
        <f t="shared" si="97"/>
        <v>0</v>
      </c>
      <c r="DK49" s="21">
        <f t="shared" si="98"/>
        <v>0</v>
      </c>
      <c r="DL49" s="21">
        <f t="shared" si="99"/>
        <v>0</v>
      </c>
      <c r="DM49" s="21">
        <f t="shared" si="100"/>
        <v>0</v>
      </c>
      <c r="DN49" s="21">
        <f t="shared" si="101"/>
        <v>0</v>
      </c>
      <c r="DO49" s="21">
        <f t="shared" si="102"/>
        <v>0</v>
      </c>
      <c r="DP49" s="21">
        <f t="shared" si="103"/>
        <v>0</v>
      </c>
      <c r="DQ49" s="21">
        <f t="shared" si="104"/>
        <v>71.963672815356816</v>
      </c>
      <c r="DR49" s="21">
        <f t="shared" si="105"/>
        <v>0</v>
      </c>
      <c r="DS49" s="21">
        <f t="shared" si="106"/>
        <v>0</v>
      </c>
      <c r="DT49" s="21">
        <f t="shared" si="107"/>
        <v>0</v>
      </c>
      <c r="DU49" s="21">
        <f t="shared" si="108"/>
        <v>0</v>
      </c>
      <c r="DV49" s="21">
        <f t="shared" si="109"/>
        <v>0</v>
      </c>
      <c r="DW49" s="16"/>
      <c r="DX49" s="60" t="e">
        <f t="shared" ref="DX49" ca="1" si="165">SUMA(CL49:DE49)-CR49+SUMA(DG49:DV49)</f>
        <v>#NAME?</v>
      </c>
    </row>
    <row r="50" spans="1:128" s="19" customFormat="1" ht="16" customHeight="1">
      <c r="A50" s="18"/>
      <c r="B50" s="17" t="s">
        <v>107</v>
      </c>
      <c r="C50" s="16"/>
      <c r="D50" s="16"/>
      <c r="E50" s="16"/>
      <c r="F50" s="16"/>
      <c r="G50" s="16"/>
      <c r="H50" s="20"/>
      <c r="I50" s="20"/>
      <c r="J50" s="20"/>
      <c r="K50" s="20"/>
      <c r="L50" s="20"/>
      <c r="M50" s="20"/>
      <c r="N50" s="20"/>
      <c r="O50" s="20"/>
      <c r="P50" s="20"/>
      <c r="Q50" s="20"/>
      <c r="R50" s="20">
        <v>1</v>
      </c>
      <c r="S50" s="20"/>
      <c r="T50" s="20"/>
      <c r="U50" s="20"/>
      <c r="V50" s="20"/>
      <c r="W50" s="20">
        <v>2</v>
      </c>
      <c r="X50" s="20"/>
      <c r="Y50" s="20"/>
      <c r="Z50" s="20"/>
      <c r="AA50" s="20"/>
      <c r="AB50" s="55"/>
      <c r="AC50" s="20"/>
      <c r="AD50" s="20"/>
      <c r="AE50" s="20"/>
      <c r="AF50" s="20"/>
      <c r="AG50" s="20"/>
      <c r="AH50" s="20"/>
      <c r="AI50" s="20"/>
      <c r="AJ50" s="20"/>
      <c r="AK50" s="20"/>
      <c r="AL50" s="20"/>
      <c r="AM50" s="20"/>
      <c r="AN50" s="20"/>
      <c r="AO50" s="20"/>
      <c r="AP50" s="20"/>
      <c r="AQ50" s="20"/>
      <c r="AS50" s="55"/>
      <c r="AT50" s="20"/>
      <c r="AU50" s="20">
        <v>0</v>
      </c>
      <c r="AV50" s="20"/>
      <c r="AW50" s="11">
        <f t="shared" si="119"/>
        <v>0</v>
      </c>
      <c r="AX50" s="11">
        <f t="shared" si="120"/>
        <v>0</v>
      </c>
      <c r="AY50" s="11">
        <f t="shared" si="121"/>
        <v>0</v>
      </c>
      <c r="AZ50" s="11">
        <f t="shared" si="122"/>
        <v>0</v>
      </c>
      <c r="BA50" s="11">
        <f t="shared" si="123"/>
        <v>0</v>
      </c>
      <c r="BB50" s="11">
        <f>M51*55.845*100/(H50*28.0855+I50*47.867+J50*26.981539+K50*51.9961+L50*55.845+M50*55.845+N50*54.938044+O50*24.305+P50*58.6934+Q50*65.38+R50*40.078+S50*22.989769+T50*39.0983+U50*30.973762+AC50*58.933195+AD50*63.546+AE50*9.012182+AF50*137.327+AG50*87.62+AH50*207.2+AI50*50.9415+AJ50*118.71+AK50*91.224+AL50*88.90585+AM50*95.95+AN50*183.84+AO50*74.9216+W50*18.9984+X50*35.453+Y50*15.999+V50*32.065+Z50*1.00784+AA50*12.011+AP50*78.96+AQ50*121.75+AR50*127.6)</f>
        <v>0</v>
      </c>
      <c r="BC50" s="11">
        <f t="shared" si="125"/>
        <v>0</v>
      </c>
      <c r="BD50" s="11">
        <f t="shared" si="126"/>
        <v>0</v>
      </c>
      <c r="BE50" s="11">
        <f t="shared" si="127"/>
        <v>0</v>
      </c>
      <c r="BF50" s="11">
        <f t="shared" si="128"/>
        <v>0</v>
      </c>
      <c r="BG50" s="11">
        <f t="shared" si="129"/>
        <v>51.33282441965909</v>
      </c>
      <c r="BH50" s="11">
        <f t="shared" si="130"/>
        <v>0</v>
      </c>
      <c r="BI50" s="11">
        <f t="shared" si="131"/>
        <v>0</v>
      </c>
      <c r="BJ50" s="56">
        <f t="shared" si="132"/>
        <v>0</v>
      </c>
      <c r="BK50" s="11">
        <f t="shared" si="133"/>
        <v>0</v>
      </c>
      <c r="BL50" s="34">
        <f t="shared" si="134"/>
        <v>48.667175580340896</v>
      </c>
      <c r="BM50" s="11">
        <f t="shared" si="135"/>
        <v>0</v>
      </c>
      <c r="BN50" s="11">
        <f t="shared" si="136"/>
        <v>0</v>
      </c>
      <c r="BO50" s="11">
        <f t="shared" si="137"/>
        <v>0</v>
      </c>
      <c r="BP50" s="11">
        <f t="shared" si="138"/>
        <v>0</v>
      </c>
      <c r="BQ50" s="54"/>
      <c r="BR50" s="56">
        <f t="shared" si="139"/>
        <v>0</v>
      </c>
      <c r="BS50" s="56">
        <f t="shared" si="140"/>
        <v>0</v>
      </c>
      <c r="BT50" s="56">
        <f t="shared" si="141"/>
        <v>0</v>
      </c>
      <c r="BU50" s="56">
        <f t="shared" si="142"/>
        <v>0</v>
      </c>
      <c r="BV50" s="56">
        <f t="shared" si="143"/>
        <v>0</v>
      </c>
      <c r="BW50" s="56">
        <f t="shared" si="144"/>
        <v>0</v>
      </c>
      <c r="BX50" s="56">
        <f t="shared" si="145"/>
        <v>0</v>
      </c>
      <c r="BY50" s="56">
        <f t="shared" ref="BY50" si="166">AJ50*118.71*100/(H50*28.0855+I50*47.867+J50*26.981539+K50*51.9961+L50*55.845+M50*55.845+N50*54.938044+O50*24.305+P50*58.6934+Q50*65.38+R50*40.078+S50*22.989769+T50*39.0983+U50*30.973762+AC50*58.933195+AD50*63.546+AE50*9.012182+AF50*137.327+AG50*87.62+AH50*207.2+AI50*50.9415+AJ50*118.71+AK50*91.224+AL50*88.90585+AM50*95.95+AN50*183.84+AO50*74.9216+W50*18.9984+X50*35.453+Y50*15.999+V50*32.065+Z50*1.00784+AA50*12.011+AP50*78.96+AQ50*121.75+AR50*127.6)</f>
        <v>0</v>
      </c>
      <c r="BZ50" s="56">
        <f t="shared" si="146"/>
        <v>0</v>
      </c>
      <c r="CA50" s="56">
        <f t="shared" si="147"/>
        <v>0</v>
      </c>
      <c r="CB50" s="56">
        <f t="shared" si="148"/>
        <v>0</v>
      </c>
      <c r="CC50" s="56">
        <f t="shared" si="149"/>
        <v>0</v>
      </c>
      <c r="CD50" s="56">
        <f t="shared" si="150"/>
        <v>0</v>
      </c>
      <c r="CE50" s="56">
        <f t="shared" si="151"/>
        <v>0</v>
      </c>
      <c r="CF50" s="56">
        <f t="shared" si="152"/>
        <v>0</v>
      </c>
      <c r="CG50" s="56">
        <f t="shared" si="153"/>
        <v>0</v>
      </c>
      <c r="CH50" s="54"/>
      <c r="CI50" s="11"/>
      <c r="CJ50" s="12">
        <f t="shared" si="73"/>
        <v>99.999999999999986</v>
      </c>
      <c r="CK50" s="16"/>
      <c r="CL50" s="60">
        <f t="shared" si="74"/>
        <v>0</v>
      </c>
      <c r="CM50" s="60">
        <f t="shared" si="75"/>
        <v>0</v>
      </c>
      <c r="CN50" s="60">
        <f t="shared" si="76"/>
        <v>0</v>
      </c>
      <c r="CO50" s="60">
        <f t="shared" si="77"/>
        <v>0</v>
      </c>
      <c r="CP50" s="60">
        <f t="shared" si="78"/>
        <v>0</v>
      </c>
      <c r="CQ50" s="60">
        <f t="shared" si="79"/>
        <v>0</v>
      </c>
      <c r="CR50" s="60">
        <f t="shared" si="80"/>
        <v>0</v>
      </c>
      <c r="CS50" s="60">
        <f t="shared" si="81"/>
        <v>0</v>
      </c>
      <c r="CT50" s="60">
        <f t="shared" si="82"/>
        <v>0</v>
      </c>
      <c r="CU50" s="60">
        <f t="shared" si="83"/>
        <v>0</v>
      </c>
      <c r="CV50" s="60">
        <f t="shared" si="84"/>
        <v>0</v>
      </c>
      <c r="CW50" s="60">
        <f t="shared" si="85"/>
        <v>59.609583114533478</v>
      </c>
      <c r="CX50" s="60">
        <f t="shared" si="86"/>
        <v>0</v>
      </c>
      <c r="CY50" s="60">
        <f t="shared" si="87"/>
        <v>0</v>
      </c>
      <c r="CZ50" s="60">
        <f t="shared" si="88"/>
        <v>0</v>
      </c>
      <c r="DA50" s="60">
        <f t="shared" si="89"/>
        <v>0</v>
      </c>
      <c r="DB50" s="60">
        <f t="shared" si="90"/>
        <v>40.390416885466514</v>
      </c>
      <c r="DC50" s="60">
        <f t="shared" si="91"/>
        <v>0</v>
      </c>
      <c r="DD50" s="60">
        <f t="shared" si="92"/>
        <v>0</v>
      </c>
      <c r="DE50" s="60">
        <f t="shared" si="93"/>
        <v>0</v>
      </c>
      <c r="DF50" s="54"/>
      <c r="DG50" s="21">
        <f t="shared" si="94"/>
        <v>0</v>
      </c>
      <c r="DH50" s="21">
        <f t="shared" si="95"/>
        <v>0</v>
      </c>
      <c r="DI50" s="21">
        <f t="shared" si="96"/>
        <v>0</v>
      </c>
      <c r="DJ50" s="21">
        <f t="shared" si="97"/>
        <v>0</v>
      </c>
      <c r="DK50" s="21">
        <f t="shared" si="98"/>
        <v>0</v>
      </c>
      <c r="DL50" s="21">
        <f t="shared" si="99"/>
        <v>0</v>
      </c>
      <c r="DM50" s="21">
        <f t="shared" si="100"/>
        <v>0</v>
      </c>
      <c r="DN50" s="21">
        <f t="shared" si="101"/>
        <v>0</v>
      </c>
      <c r="DO50" s="21">
        <f t="shared" si="102"/>
        <v>0</v>
      </c>
      <c r="DP50" s="21">
        <f t="shared" si="103"/>
        <v>0</v>
      </c>
      <c r="DQ50" s="21">
        <f t="shared" si="104"/>
        <v>0</v>
      </c>
      <c r="DR50" s="21">
        <f t="shared" si="105"/>
        <v>0</v>
      </c>
      <c r="DS50" s="21">
        <f t="shared" si="106"/>
        <v>0</v>
      </c>
      <c r="DT50" s="21">
        <f t="shared" si="107"/>
        <v>0</v>
      </c>
      <c r="DU50" s="21">
        <f t="shared" si="108"/>
        <v>0</v>
      </c>
      <c r="DV50" s="21">
        <f t="shared" si="109"/>
        <v>0</v>
      </c>
      <c r="DW50" s="16"/>
      <c r="DX50" s="60" t="e">
        <f t="shared" ref="DX50" ca="1" si="167">SUMA(CL50:DE50)-CR50+SUMA(DG50:DV50)</f>
        <v>#NAME?</v>
      </c>
    </row>
    <row r="51" spans="1:128" s="19" customFormat="1" ht="16" customHeight="1">
      <c r="A51" s="18"/>
      <c r="B51" s="17"/>
      <c r="C51" s="16"/>
      <c r="D51" s="16"/>
      <c r="E51" s="16"/>
      <c r="F51" s="16"/>
      <c r="G51" s="16"/>
      <c r="H51" s="20"/>
      <c r="I51" s="20"/>
      <c r="J51" s="20"/>
      <c r="K51" s="20"/>
      <c r="L51" s="20"/>
      <c r="M51" s="20"/>
      <c r="N51" s="20"/>
      <c r="O51" s="20"/>
      <c r="P51" s="20"/>
      <c r="Q51" s="20"/>
      <c r="R51" s="20"/>
      <c r="S51" s="20"/>
      <c r="T51"/>
      <c r="U51"/>
      <c r="V51"/>
      <c r="W51"/>
      <c r="X51"/>
      <c r="Y51"/>
      <c r="Z51" s="16"/>
      <c r="AA51" s="16"/>
      <c r="AB51" s="55"/>
      <c r="AC51"/>
      <c r="AD51"/>
      <c r="AE51"/>
      <c r="AF51"/>
      <c r="AG51"/>
      <c r="AH51"/>
      <c r="AI51"/>
      <c r="AJ51"/>
      <c r="AK51"/>
      <c r="AL51"/>
      <c r="AM51"/>
      <c r="AN51"/>
      <c r="AO51"/>
      <c r="AP51"/>
      <c r="AQ51"/>
      <c r="AS51" s="55"/>
      <c r="AT51"/>
      <c r="AU51" s="41"/>
      <c r="AV51" s="16"/>
      <c r="AW51" s="16"/>
      <c r="AX51" s="16"/>
      <c r="AY51" s="16"/>
      <c r="AZ51" s="16"/>
      <c r="BA51" s="16"/>
      <c r="BB51" s="16"/>
      <c r="BC51" s="16"/>
      <c r="BD51" s="16"/>
      <c r="BE51" s="16"/>
      <c r="BF51" s="16"/>
      <c r="BG51" s="16"/>
      <c r="BH51" s="16"/>
      <c r="BI51"/>
      <c r="BJ51"/>
      <c r="BK51"/>
      <c r="BL51"/>
      <c r="BM51"/>
      <c r="BN51"/>
      <c r="BO51"/>
      <c r="BP51"/>
      <c r="BQ51" s="55"/>
      <c r="BR51"/>
      <c r="BS51"/>
      <c r="BT51"/>
      <c r="BU51"/>
      <c r="BV51"/>
      <c r="BW51"/>
      <c r="BX51"/>
      <c r="BY51"/>
      <c r="BZ51"/>
      <c r="CA51"/>
      <c r="CB51"/>
      <c r="CC51"/>
      <c r="CD51"/>
      <c r="CE51"/>
      <c r="CF51"/>
      <c r="CH51" s="55"/>
      <c r="CI51"/>
      <c r="CJ51" s="16"/>
      <c r="CK51" s="16"/>
      <c r="CL51" s="60"/>
      <c r="CM51" s="60"/>
      <c r="CN51" s="60"/>
      <c r="CO51" s="60"/>
      <c r="CP51" s="60"/>
      <c r="CQ51" s="60"/>
      <c r="CR51" s="60"/>
      <c r="CS51" s="60"/>
      <c r="CT51" s="60"/>
      <c r="CU51" s="60"/>
      <c r="CV51" s="60"/>
      <c r="CW51" s="60"/>
      <c r="CX51" s="60"/>
      <c r="CY51" s="60"/>
      <c r="CZ51" s="60"/>
      <c r="DA51" s="60"/>
      <c r="DB51" s="60"/>
      <c r="DC51" s="60"/>
      <c r="DD51" s="60"/>
      <c r="DE51" s="60"/>
      <c r="DF51" s="54"/>
      <c r="DG51" s="21"/>
      <c r="DH51" s="21"/>
      <c r="DI51" s="21"/>
      <c r="DJ51" s="21"/>
      <c r="DK51" s="21"/>
      <c r="DL51" s="21"/>
      <c r="DM51" s="21"/>
      <c r="DN51" s="21"/>
      <c r="DO51" s="21"/>
      <c r="DP51" s="21"/>
      <c r="DQ51" s="21"/>
      <c r="DR51" s="21"/>
      <c r="DS51" s="21"/>
      <c r="DT51" s="21"/>
      <c r="DU51" s="21"/>
      <c r="DV51" s="21"/>
      <c r="DX51" s="28"/>
    </row>
    <row r="52" spans="1:128" s="19" customFormat="1" ht="16" customHeight="1">
      <c r="A52" s="18"/>
      <c r="B52" s="17"/>
      <c r="C52" s="16"/>
      <c r="D52" s="16"/>
      <c r="E52" s="16"/>
      <c r="F52" s="16"/>
      <c r="G52" s="16"/>
      <c r="H52" s="20"/>
      <c r="I52" s="20"/>
      <c r="J52" s="20"/>
      <c r="K52" s="20"/>
      <c r="L52" s="20"/>
      <c r="M52" s="20"/>
      <c r="N52" s="20"/>
      <c r="O52" s="20"/>
      <c r="P52" s="20"/>
      <c r="Q52" s="20"/>
      <c r="R52" s="20"/>
      <c r="S52" s="20"/>
      <c r="T52"/>
      <c r="U52"/>
      <c r="V52"/>
      <c r="W52"/>
      <c r="X52"/>
      <c r="Y52"/>
      <c r="Z52" s="16"/>
      <c r="AA52" s="16"/>
      <c r="AB52" s="55"/>
      <c r="AC52"/>
      <c r="AD52"/>
      <c r="AE52"/>
      <c r="AF52"/>
      <c r="AG52"/>
      <c r="AH52"/>
      <c r="AI52"/>
      <c r="AJ52"/>
      <c r="AK52"/>
      <c r="AL52"/>
      <c r="AM52"/>
      <c r="AN52"/>
      <c r="AO52"/>
      <c r="AP52"/>
      <c r="AQ52"/>
      <c r="AS52" s="55"/>
      <c r="AT52"/>
      <c r="AU52" s="41"/>
      <c r="AV52" s="16"/>
      <c r="AW52" s="16"/>
      <c r="AX52" s="16"/>
      <c r="AY52" s="16"/>
      <c r="AZ52" s="16"/>
      <c r="BA52" s="16"/>
      <c r="BB52" s="16"/>
      <c r="BC52" s="16"/>
      <c r="BD52" s="16"/>
      <c r="BE52" s="16"/>
      <c r="BF52" s="16"/>
      <c r="BG52" s="16"/>
      <c r="BH52" s="16"/>
      <c r="BI52"/>
      <c r="BJ52"/>
      <c r="BK52"/>
      <c r="BL52"/>
      <c r="BM52"/>
      <c r="BN52"/>
      <c r="BO52"/>
      <c r="BP52"/>
      <c r="BQ52" s="55"/>
      <c r="BR52"/>
      <c r="BS52"/>
      <c r="BT52"/>
      <c r="BU52"/>
      <c r="BV52"/>
      <c r="BW52"/>
      <c r="BX52"/>
      <c r="BY52"/>
      <c r="BZ52"/>
      <c r="CA52"/>
      <c r="CB52"/>
      <c r="CC52"/>
      <c r="CD52"/>
      <c r="CE52"/>
      <c r="CF52"/>
      <c r="CH52" s="55"/>
      <c r="CI52"/>
      <c r="CJ52" s="16"/>
      <c r="CK52" s="16"/>
      <c r="CL52" s="60"/>
      <c r="CM52" s="60"/>
      <c r="CN52" s="60"/>
      <c r="CO52" s="60"/>
      <c r="CP52" s="60"/>
      <c r="CQ52" s="60"/>
      <c r="CR52" s="60"/>
      <c r="CS52" s="60"/>
      <c r="CT52" s="60"/>
      <c r="CU52" s="60"/>
      <c r="CV52" s="60"/>
      <c r="CW52" s="60"/>
      <c r="CX52" s="60"/>
      <c r="CY52" s="60"/>
      <c r="CZ52" s="60"/>
      <c r="DA52" s="60"/>
      <c r="DB52" s="60"/>
      <c r="DC52" s="60"/>
      <c r="DD52" s="60"/>
      <c r="DE52" s="60"/>
      <c r="DF52" s="54"/>
      <c r="DG52" s="21"/>
      <c r="DH52" s="21"/>
      <c r="DI52" s="21"/>
      <c r="DJ52" s="21"/>
      <c r="DK52" s="21"/>
      <c r="DL52" s="21"/>
      <c r="DM52" s="21"/>
      <c r="DN52" s="21"/>
      <c r="DO52" s="21"/>
      <c r="DP52" s="21"/>
      <c r="DQ52" s="21"/>
      <c r="DR52" s="21"/>
      <c r="DS52" s="21"/>
      <c r="DT52" s="21"/>
      <c r="DU52" s="21"/>
      <c r="DV52" s="21"/>
      <c r="DX52" s="28"/>
    </row>
    <row r="53" spans="1:128" s="19" customFormat="1" ht="16" customHeight="1">
      <c r="A53" s="18"/>
      <c r="B53" s="17" t="s">
        <v>419</v>
      </c>
      <c r="C53" s="16"/>
      <c r="D53" s="16"/>
      <c r="E53" s="16"/>
      <c r="F53" s="16"/>
      <c r="G53" s="16"/>
      <c r="H53" s="20">
        <v>17.63</v>
      </c>
      <c r="I53" s="20"/>
      <c r="J53" s="20">
        <v>1.38</v>
      </c>
      <c r="K53" s="20"/>
      <c r="L53" s="20">
        <v>0.38</v>
      </c>
      <c r="M53" s="20"/>
      <c r="N53" s="20"/>
      <c r="O53" s="20"/>
      <c r="P53" s="20"/>
      <c r="Q53" s="20"/>
      <c r="R53" s="20"/>
      <c r="S53" s="20">
        <v>1.57</v>
      </c>
      <c r="T53" s="20"/>
      <c r="U53" s="20"/>
      <c r="V53" s="20"/>
      <c r="W53" s="20"/>
      <c r="X53" s="20"/>
      <c r="Y53" s="20">
        <v>64.11</v>
      </c>
      <c r="Z53" s="20"/>
      <c r="AA53" s="20"/>
      <c r="AB53" s="55"/>
      <c r="AC53" s="20"/>
      <c r="AD53" s="20"/>
      <c r="AE53" s="20"/>
      <c r="AF53" s="20"/>
      <c r="AG53" s="20"/>
      <c r="AH53" s="20">
        <v>5.74</v>
      </c>
      <c r="AI53" s="20"/>
      <c r="AJ53" s="20">
        <v>9.18</v>
      </c>
      <c r="AK53" s="20"/>
      <c r="AL53" s="20"/>
      <c r="AM53" s="20"/>
      <c r="AN53" s="20"/>
      <c r="AO53" s="20"/>
      <c r="AP53" s="20"/>
      <c r="AQ53" s="20"/>
      <c r="AS53" s="55"/>
      <c r="AT53" s="20"/>
      <c r="AU53" s="20">
        <v>0</v>
      </c>
      <c r="AV53" s="20"/>
      <c r="AW53" s="11">
        <f t="shared" ref="AW53:AW55" si="168">28.0855*H53*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12.714086115319137</v>
      </c>
      <c r="AX53" s="11">
        <f t="shared" ref="AX53:AX55" si="169">I53*47.867*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AY53" s="11">
        <f t="shared" ref="AY53:AY55" si="170">J53*26.981539*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0.95608494717604264</v>
      </c>
      <c r="AZ53" s="11">
        <f t="shared" ref="AZ53:AZ55" si="171">K53*51.9961*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A53" s="11">
        <f t="shared" ref="BA53:BA55" si="172">L53*55.845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0.54490220878343754</v>
      </c>
      <c r="BB53" s="11">
        <f t="shared" ref="BB53:BB55" si="173">M54*55.845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C53" s="11">
        <f t="shared" ref="BC53:BC55" si="174">N53*54.938044*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D53" s="11">
        <f t="shared" ref="BD53:BD55" si="175">O53*24.305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E53" s="11">
        <f t="shared" ref="BE53:BE55" si="176">P53*58.6934*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F53" s="11">
        <f t="shared" ref="BF53:BF55" si="177">Q53*65.38*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G53" s="11">
        <f t="shared" ref="BG53:BG55" si="178">R53*40.078*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H53" s="11">
        <f t="shared" ref="BH53:BH55" si="179">S53*22.989769*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0.92679767659583956</v>
      </c>
      <c r="BI53" s="11">
        <f t="shared" ref="BI53:BI55" si="180">T53*39.0983*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J53" s="56">
        <f t="shared" ref="BJ53:BJ55" si="181">U53*30.973762*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K53" s="11">
        <f t="shared" ref="BK53:BK55" si="182">V53*32.065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L53" s="34">
        <f t="shared" ref="BL53:BL55" si="183">W53*18.9984*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M53" s="11">
        <f t="shared" ref="BM53:BM55" si="184">X53*35.453*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N53" s="11">
        <f t="shared" ref="BN53:BN55" si="185">AA53*12.011*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O53" s="11">
        <f t="shared" ref="BO53:BO55" si="186">Y53*15.999*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26.337181201780009</v>
      </c>
      <c r="BP53" s="11">
        <f t="shared" ref="BP53:BP55" si="187">Z53*1.00784*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Q53" s="54"/>
      <c r="BR53" s="56">
        <f t="shared" ref="BR53:BR55" si="188">AC53*58.933195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S53" s="56">
        <f t="shared" ref="BS53:BS55" si="189">AD53*63.546*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T53" s="56">
        <f t="shared" ref="BT53:BT55" si="190">AE53*9.012182*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U53" s="56">
        <f t="shared" ref="BU53:BU55" si="191">AF53*137.327*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V53" s="56">
        <f t="shared" ref="BV53:BV55" si="192">AG53*87.62*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W53" s="56">
        <f t="shared" ref="BW53:BW55" si="193">AH53*207.2*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30.538824762523536</v>
      </c>
      <c r="BX53" s="56">
        <f t="shared" ref="BX53:BX55" si="194">AI53*50.9415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BY53" s="56">
        <f t="shared" ref="BY53:BY63" si="195">AJ53*118.71*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27.982123087822</v>
      </c>
      <c r="BZ53" s="56">
        <f t="shared" ref="BZ53:BZ55" si="196">AK53*91.224*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CA53" s="56">
        <f t="shared" ref="CA53:CA55" si="197">AL53*88.90585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CB53" s="56">
        <f t="shared" ref="CB53:CB55" si="198">AM53*95.95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CC53" s="56">
        <f t="shared" ref="CC53:CC55" si="199">AN53*183.84*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CD53" s="56">
        <f t="shared" ref="CD53:CD55" si="200">AO53*74.9216*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CE53" s="56">
        <f t="shared" ref="CE53:CE55" si="201">AP53*78.96*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CF53" s="56">
        <f t="shared" ref="CF53:CF55" si="202">AQ53*121.75*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CG53" s="56">
        <f t="shared" ref="CG53:CG55" si="203">AR53*127.6*100/(H53*28.0855+I53*47.867+J53*26.981539+K53*51.9961+L53*55.845+M53*55.845+N53*54.938044+O53*24.305+P53*58.6934+Q53*65.38+R53*40.078+S53*22.989769+T53*39.0983+U53*30.973762+AC53*58.933195+AD53*63.546+AE53*9.012182+AF53*137.327+AG53*87.62+AH53*207.2+AI53*50.9415+AJ53*118.71+AK53*91.224+AL53*88.90585+AM53*95.95+AN53*183.84+AO53*74.9216+W53*18.9984+X53*35.453+Y53*15.999+V53*32.065+Z53*1.00784+AA53*12.011+AP53*78.96+AQ53*121.75+AR53*127.6)</f>
        <v>0</v>
      </c>
      <c r="CH53" s="54"/>
      <c r="CI53" s="11"/>
      <c r="CJ53" s="12" t="e">
        <f t="shared" ref="CJ53:CJ55" ca="1" si="204">SUMA(AW53:CG53)</f>
        <v>#NAME?</v>
      </c>
      <c r="CK53" s="16"/>
      <c r="CL53" s="60">
        <f t="shared" si="74"/>
        <v>27.371451508107388</v>
      </c>
      <c r="CM53" s="60">
        <f t="shared" si="75"/>
        <v>0</v>
      </c>
      <c r="CN53" s="60">
        <f t="shared" si="76"/>
        <v>1.8178994401036832</v>
      </c>
      <c r="CO53" s="60">
        <f t="shared" si="77"/>
        <v>0</v>
      </c>
      <c r="CP53" s="60">
        <f t="shared" si="78"/>
        <v>0</v>
      </c>
      <c r="CQ53" s="60">
        <f t="shared" si="79"/>
        <v>0.70544113417658605</v>
      </c>
      <c r="CR53" s="60">
        <f t="shared" si="80"/>
        <v>0.70544113417658605</v>
      </c>
      <c r="CS53" s="60">
        <f t="shared" si="81"/>
        <v>0</v>
      </c>
      <c r="CT53" s="60">
        <f t="shared" si="82"/>
        <v>0</v>
      </c>
      <c r="CU53" s="60">
        <f t="shared" si="83"/>
        <v>0</v>
      </c>
      <c r="CV53" s="60">
        <f t="shared" si="84"/>
        <v>0</v>
      </c>
      <c r="CW53" s="60">
        <f t="shared" si="85"/>
        <v>0</v>
      </c>
      <c r="CX53" s="60">
        <f t="shared" si="86"/>
        <v>1.257189949689149</v>
      </c>
      <c r="CY53" s="60">
        <f t="shared" si="87"/>
        <v>0</v>
      </c>
      <c r="CZ53" s="60">
        <f t="shared" si="88"/>
        <v>0</v>
      </c>
      <c r="DA53" s="60">
        <f t="shared" si="89"/>
        <v>0</v>
      </c>
      <c r="DB53" s="60">
        <f t="shared" si="90"/>
        <v>0</v>
      </c>
      <c r="DC53" s="60">
        <f t="shared" si="91"/>
        <v>0</v>
      </c>
      <c r="DD53" s="60">
        <f t="shared" si="92"/>
        <v>0</v>
      </c>
      <c r="DE53" s="60">
        <f t="shared" si="93"/>
        <v>0</v>
      </c>
      <c r="DF53" s="54"/>
      <c r="DG53" s="21">
        <f t="shared" si="94"/>
        <v>0</v>
      </c>
      <c r="DH53" s="21">
        <f t="shared" si="95"/>
        <v>0</v>
      </c>
      <c r="DI53" s="21">
        <f t="shared" si="96"/>
        <v>0</v>
      </c>
      <c r="DJ53" s="21">
        <f t="shared" si="97"/>
        <v>0</v>
      </c>
      <c r="DK53" s="21">
        <f t="shared" si="98"/>
        <v>0</v>
      </c>
      <c r="DL53" s="21">
        <f t="shared" si="99"/>
        <v>33.103379326757384</v>
      </c>
      <c r="DM53" s="21">
        <f t="shared" si="100"/>
        <v>0</v>
      </c>
      <c r="DN53" s="21">
        <f t="shared" si="101"/>
        <v>35.744638641165821</v>
      </c>
      <c r="DO53" s="21">
        <f t="shared" si="102"/>
        <v>0</v>
      </c>
      <c r="DP53" s="21">
        <f t="shared" si="103"/>
        <v>0</v>
      </c>
      <c r="DQ53" s="21">
        <f t="shared" si="104"/>
        <v>0</v>
      </c>
      <c r="DR53" s="21">
        <f t="shared" si="105"/>
        <v>0</v>
      </c>
      <c r="DS53" s="21">
        <f t="shared" si="106"/>
        <v>0</v>
      </c>
      <c r="DT53" s="21">
        <f t="shared" si="107"/>
        <v>0</v>
      </c>
      <c r="DU53" s="21">
        <f t="shared" si="108"/>
        <v>0</v>
      </c>
      <c r="DV53" s="21">
        <f t="shared" si="109"/>
        <v>0</v>
      </c>
      <c r="DW53" s="16"/>
      <c r="DX53" s="60" t="e">
        <f t="shared" ref="DX53:DX63" ca="1" si="205">SUMA(CL53:DE53)-CR53+SUMA(DG53:DV53)</f>
        <v>#NAME?</v>
      </c>
    </row>
    <row r="54" spans="1:128" s="19" customFormat="1" ht="16" customHeight="1">
      <c r="A54" s="18"/>
      <c r="B54" s="17" t="s">
        <v>420</v>
      </c>
      <c r="C54" s="16"/>
      <c r="D54" s="16"/>
      <c r="E54" s="16"/>
      <c r="F54" s="16"/>
      <c r="G54" s="16"/>
      <c r="H54" s="20">
        <v>23.58</v>
      </c>
      <c r="I54" s="20"/>
      <c r="J54" s="20">
        <v>1.95</v>
      </c>
      <c r="K54" s="20"/>
      <c r="L54" s="20">
        <v>0.39</v>
      </c>
      <c r="M54" s="20"/>
      <c r="N54" s="20"/>
      <c r="O54" s="20">
        <v>0.48</v>
      </c>
      <c r="P54" s="20"/>
      <c r="Q54" s="20"/>
      <c r="R54" s="20">
        <v>1.1100000000000001</v>
      </c>
      <c r="S54" s="20">
        <v>1.77</v>
      </c>
      <c r="T54" s="20">
        <v>2.7</v>
      </c>
      <c r="U54" s="20"/>
      <c r="V54" s="20"/>
      <c r="W54" s="20"/>
      <c r="X54" s="20"/>
      <c r="Y54" s="20">
        <v>59.37</v>
      </c>
      <c r="Z54" s="20"/>
      <c r="AA54" s="20"/>
      <c r="AB54" s="55"/>
      <c r="AC54" s="20"/>
      <c r="AD54" s="20"/>
      <c r="AE54" s="20"/>
      <c r="AF54" s="20"/>
      <c r="AG54" s="20"/>
      <c r="AH54" s="20">
        <v>7.93</v>
      </c>
      <c r="AI54" s="20"/>
      <c r="AJ54" s="20">
        <v>0.73</v>
      </c>
      <c r="AK54" s="20"/>
      <c r="AL54" s="20"/>
      <c r="AM54" s="20"/>
      <c r="AN54" s="20"/>
      <c r="AO54" s="20"/>
      <c r="AP54" s="20"/>
      <c r="AQ54" s="20"/>
      <c r="AS54" s="55"/>
      <c r="AT54" s="20"/>
      <c r="AU54" s="20">
        <v>0</v>
      </c>
      <c r="AV54" s="20"/>
      <c r="AW54" s="11">
        <f t="shared" si="168"/>
        <v>18.30106646915339</v>
      </c>
      <c r="AX54" s="11">
        <f t="shared" si="169"/>
        <v>0</v>
      </c>
      <c r="AY54" s="11">
        <f t="shared" si="170"/>
        <v>1.4539576833852237</v>
      </c>
      <c r="AZ54" s="11">
        <f t="shared" si="171"/>
        <v>0</v>
      </c>
      <c r="BA54" s="11">
        <f t="shared" si="172"/>
        <v>0.60186534821937188</v>
      </c>
      <c r="BB54" s="11">
        <f t="shared" si="173"/>
        <v>0</v>
      </c>
      <c r="BC54" s="11">
        <f t="shared" si="174"/>
        <v>0</v>
      </c>
      <c r="BD54" s="11">
        <f t="shared" si="175"/>
        <v>0.32239425968243052</v>
      </c>
      <c r="BE54" s="11">
        <f t="shared" si="176"/>
        <v>0</v>
      </c>
      <c r="BF54" s="11">
        <f t="shared" si="177"/>
        <v>0</v>
      </c>
      <c r="BG54" s="11">
        <f t="shared" si="178"/>
        <v>1.2293610732448079</v>
      </c>
      <c r="BH54" s="11">
        <f t="shared" si="179"/>
        <v>1.1244970270121386</v>
      </c>
      <c r="BI54" s="11">
        <f t="shared" si="180"/>
        <v>2.9172394401891122</v>
      </c>
      <c r="BJ54" s="56">
        <f t="shared" si="181"/>
        <v>0</v>
      </c>
      <c r="BK54" s="11">
        <f t="shared" si="182"/>
        <v>0</v>
      </c>
      <c r="BL54" s="34">
        <f t="shared" si="183"/>
        <v>0</v>
      </c>
      <c r="BM54" s="11">
        <f t="shared" si="184"/>
        <v>0</v>
      </c>
      <c r="BN54" s="11">
        <f t="shared" si="185"/>
        <v>0</v>
      </c>
      <c r="BO54" s="11">
        <f t="shared" si="186"/>
        <v>26.248852654661</v>
      </c>
      <c r="BP54" s="11">
        <f t="shared" si="187"/>
        <v>0</v>
      </c>
      <c r="BQ54" s="54"/>
      <c r="BR54" s="56">
        <f t="shared" si="188"/>
        <v>0</v>
      </c>
      <c r="BS54" s="56">
        <f t="shared" si="189"/>
        <v>0</v>
      </c>
      <c r="BT54" s="56">
        <f t="shared" si="190"/>
        <v>0</v>
      </c>
      <c r="BU54" s="56">
        <f t="shared" si="191"/>
        <v>0</v>
      </c>
      <c r="BV54" s="56">
        <f t="shared" si="192"/>
        <v>0</v>
      </c>
      <c r="BW54" s="56">
        <f t="shared" si="193"/>
        <v>45.406013723784788</v>
      </c>
      <c r="BX54" s="56">
        <f t="shared" si="194"/>
        <v>0</v>
      </c>
      <c r="BY54" s="56">
        <f t="shared" si="195"/>
        <v>2.3947523206677275</v>
      </c>
      <c r="BZ54" s="56">
        <f t="shared" si="196"/>
        <v>0</v>
      </c>
      <c r="CA54" s="56">
        <f t="shared" si="197"/>
        <v>0</v>
      </c>
      <c r="CB54" s="56">
        <f t="shared" si="198"/>
        <v>0</v>
      </c>
      <c r="CC54" s="56">
        <f t="shared" si="199"/>
        <v>0</v>
      </c>
      <c r="CD54" s="56">
        <f t="shared" si="200"/>
        <v>0</v>
      </c>
      <c r="CE54" s="56">
        <f t="shared" si="201"/>
        <v>0</v>
      </c>
      <c r="CF54" s="56">
        <f t="shared" si="202"/>
        <v>0</v>
      </c>
      <c r="CG54" s="56">
        <f t="shared" si="203"/>
        <v>0</v>
      </c>
      <c r="CH54" s="54"/>
      <c r="CI54" s="11"/>
      <c r="CJ54" s="12" t="e">
        <f t="shared" ca="1" si="204"/>
        <v>#NAME?</v>
      </c>
      <c r="CK54" s="16"/>
      <c r="CL54" s="60">
        <f t="shared" si="74"/>
        <v>38.418932413340677</v>
      </c>
      <c r="CM54" s="60">
        <f t="shared" si="75"/>
        <v>0</v>
      </c>
      <c r="CN54" s="60">
        <f t="shared" si="76"/>
        <v>2.695760815125797</v>
      </c>
      <c r="CO54" s="60">
        <f t="shared" si="77"/>
        <v>0</v>
      </c>
      <c r="CP54" s="60">
        <f t="shared" si="78"/>
        <v>0</v>
      </c>
      <c r="CQ54" s="60">
        <f t="shared" si="79"/>
        <v>0.75979733428231488</v>
      </c>
      <c r="CR54" s="60">
        <f t="shared" si="80"/>
        <v>0.75979733428231488</v>
      </c>
      <c r="CS54" s="60">
        <f t="shared" si="81"/>
        <v>0</v>
      </c>
      <c r="CT54" s="60">
        <f t="shared" si="82"/>
        <v>0.52460453651140571</v>
      </c>
      <c r="CU54" s="60">
        <f t="shared" si="83"/>
        <v>0</v>
      </c>
      <c r="CV54" s="60">
        <f t="shared" si="84"/>
        <v>0</v>
      </c>
      <c r="CW54" s="60">
        <f t="shared" si="85"/>
        <v>1.687914347794502</v>
      </c>
      <c r="CX54" s="60">
        <f t="shared" si="86"/>
        <v>1.4874092905930436</v>
      </c>
      <c r="CY54" s="60">
        <f t="shared" si="87"/>
        <v>3.4483305029514395</v>
      </c>
      <c r="CZ54" s="60">
        <f t="shared" si="88"/>
        <v>0</v>
      </c>
      <c r="DA54" s="60">
        <f t="shared" si="89"/>
        <v>0</v>
      </c>
      <c r="DB54" s="60">
        <f t="shared" si="90"/>
        <v>0</v>
      </c>
      <c r="DC54" s="60">
        <f t="shared" si="91"/>
        <v>0</v>
      </c>
      <c r="DD54" s="60">
        <f t="shared" si="92"/>
        <v>0</v>
      </c>
      <c r="DE54" s="60">
        <f t="shared" si="93"/>
        <v>0</v>
      </c>
      <c r="DF54" s="54"/>
      <c r="DG54" s="21">
        <f t="shared" si="94"/>
        <v>0</v>
      </c>
      <c r="DH54" s="21">
        <f t="shared" si="95"/>
        <v>0</v>
      </c>
      <c r="DI54" s="21">
        <f t="shared" si="96"/>
        <v>0</v>
      </c>
      <c r="DJ54" s="21">
        <f t="shared" si="97"/>
        <v>0</v>
      </c>
      <c r="DK54" s="21">
        <f t="shared" si="98"/>
        <v>0</v>
      </c>
      <c r="DL54" s="21">
        <f t="shared" si="99"/>
        <v>47.994293262847115</v>
      </c>
      <c r="DM54" s="21">
        <f t="shared" si="100"/>
        <v>0</v>
      </c>
      <c r="DN54" s="21">
        <f t="shared" si="101"/>
        <v>2.9829574965536954</v>
      </c>
      <c r="DO54" s="21">
        <f t="shared" si="102"/>
        <v>0</v>
      </c>
      <c r="DP54" s="21">
        <f t="shared" si="103"/>
        <v>0</v>
      </c>
      <c r="DQ54" s="21">
        <f t="shared" si="104"/>
        <v>0</v>
      </c>
      <c r="DR54" s="21">
        <f t="shared" si="105"/>
        <v>0</v>
      </c>
      <c r="DS54" s="21">
        <f t="shared" si="106"/>
        <v>0</v>
      </c>
      <c r="DT54" s="21">
        <f t="shared" si="107"/>
        <v>0</v>
      </c>
      <c r="DU54" s="21">
        <f t="shared" si="108"/>
        <v>0</v>
      </c>
      <c r="DV54" s="21">
        <f t="shared" si="109"/>
        <v>0</v>
      </c>
      <c r="DW54" s="16"/>
      <c r="DX54" s="60" t="e">
        <f t="shared" ca="1" si="205"/>
        <v>#NAME?</v>
      </c>
    </row>
    <row r="55" spans="1:128" s="19" customFormat="1" ht="16" customHeight="1">
      <c r="A55" s="18"/>
      <c r="B55" s="17" t="s">
        <v>421</v>
      </c>
      <c r="C55" s="16"/>
      <c r="D55" s="16"/>
      <c r="E55" s="16"/>
      <c r="F55" s="16"/>
      <c r="G55" s="16"/>
      <c r="H55" s="20">
        <v>22.96</v>
      </c>
      <c r="I55" s="20"/>
      <c r="J55" s="20">
        <v>1.77</v>
      </c>
      <c r="K55" s="20"/>
      <c r="L55" s="20">
        <v>0.4</v>
      </c>
      <c r="M55" s="20"/>
      <c r="N55" s="20"/>
      <c r="O55" s="20">
        <v>0.43</v>
      </c>
      <c r="P55" s="20"/>
      <c r="Q55" s="20"/>
      <c r="R55" s="20">
        <v>1.08</v>
      </c>
      <c r="S55" s="20">
        <v>1.77</v>
      </c>
      <c r="T55" s="20">
        <v>2.73</v>
      </c>
      <c r="U55" s="20"/>
      <c r="V55" s="20"/>
      <c r="W55" s="20"/>
      <c r="X55" s="20"/>
      <c r="Y55" s="20">
        <v>59.62</v>
      </c>
      <c r="Z55" s="20"/>
      <c r="AA55" s="20"/>
      <c r="AB55" s="55"/>
      <c r="AC55" s="20"/>
      <c r="AD55" s="20"/>
      <c r="AE55" s="20"/>
      <c r="AF55" s="20"/>
      <c r="AG55" s="20"/>
      <c r="AH55" s="20">
        <v>7.9</v>
      </c>
      <c r="AI55" s="20"/>
      <c r="AJ55" s="20">
        <v>1.34</v>
      </c>
      <c r="AK55" s="20"/>
      <c r="AL55" s="20"/>
      <c r="AM55" s="20"/>
      <c r="AN55" s="20"/>
      <c r="AO55" s="20"/>
      <c r="AP55" s="20"/>
      <c r="AQ55" s="20"/>
      <c r="AS55" s="55"/>
      <c r="AT55" s="20"/>
      <c r="AU55" s="20">
        <v>0</v>
      </c>
      <c r="AV55" s="20"/>
      <c r="AW55" s="11">
        <f t="shared" si="168"/>
        <v>17.590231498230267</v>
      </c>
      <c r="AX55" s="11">
        <f t="shared" si="169"/>
        <v>0</v>
      </c>
      <c r="AY55" s="11">
        <f t="shared" si="170"/>
        <v>1.3027392422722368</v>
      </c>
      <c r="AZ55" s="11">
        <f t="shared" si="171"/>
        <v>0</v>
      </c>
      <c r="BA55" s="11">
        <f t="shared" si="172"/>
        <v>0.60934296016244405</v>
      </c>
      <c r="BB55" s="11">
        <f t="shared" si="173"/>
        <v>0</v>
      </c>
      <c r="BC55" s="11">
        <f t="shared" si="174"/>
        <v>0</v>
      </c>
      <c r="BD55" s="11">
        <f t="shared" si="175"/>
        <v>0.28508974295378847</v>
      </c>
      <c r="BE55" s="11">
        <f t="shared" si="176"/>
        <v>0</v>
      </c>
      <c r="BF55" s="11">
        <f t="shared" si="177"/>
        <v>0</v>
      </c>
      <c r="BG55" s="11">
        <f t="shared" si="178"/>
        <v>1.1807210551518339</v>
      </c>
      <c r="BH55" s="11">
        <f t="shared" si="179"/>
        <v>1.110006150763815</v>
      </c>
      <c r="BI55" s="11">
        <f t="shared" si="180"/>
        <v>2.9116423867822387</v>
      </c>
      <c r="BJ55" s="56">
        <f t="shared" si="181"/>
        <v>0</v>
      </c>
      <c r="BK55" s="11">
        <f t="shared" si="182"/>
        <v>0</v>
      </c>
      <c r="BL55" s="34">
        <f t="shared" si="183"/>
        <v>0</v>
      </c>
      <c r="BM55" s="11">
        <f t="shared" si="184"/>
        <v>0</v>
      </c>
      <c r="BN55" s="11">
        <f t="shared" si="185"/>
        <v>0</v>
      </c>
      <c r="BO55" s="11">
        <f t="shared" si="186"/>
        <v>26.019702190476934</v>
      </c>
      <c r="BP55" s="11">
        <f t="shared" si="187"/>
        <v>0</v>
      </c>
      <c r="BQ55" s="54"/>
      <c r="BR55" s="56">
        <f t="shared" si="188"/>
        <v>0</v>
      </c>
      <c r="BS55" s="56">
        <f t="shared" si="189"/>
        <v>0</v>
      </c>
      <c r="BT55" s="56">
        <f t="shared" si="190"/>
        <v>0</v>
      </c>
      <c r="BU55" s="56">
        <f t="shared" si="191"/>
        <v>0</v>
      </c>
      <c r="BV55" s="56">
        <f t="shared" si="192"/>
        <v>0</v>
      </c>
      <c r="BW55" s="56">
        <f t="shared" si="193"/>
        <v>44.651325303550067</v>
      </c>
      <c r="BX55" s="56">
        <f t="shared" si="194"/>
        <v>0</v>
      </c>
      <c r="BY55" s="56">
        <f t="shared" si="195"/>
        <v>4.3391994696563794</v>
      </c>
      <c r="BZ55" s="56">
        <f t="shared" si="196"/>
        <v>0</v>
      </c>
      <c r="CA55" s="56">
        <f t="shared" si="197"/>
        <v>0</v>
      </c>
      <c r="CB55" s="56">
        <f t="shared" si="198"/>
        <v>0</v>
      </c>
      <c r="CC55" s="56">
        <f t="shared" si="199"/>
        <v>0</v>
      </c>
      <c r="CD55" s="56">
        <f t="shared" si="200"/>
        <v>0</v>
      </c>
      <c r="CE55" s="56">
        <f t="shared" si="201"/>
        <v>0</v>
      </c>
      <c r="CF55" s="56">
        <f t="shared" si="202"/>
        <v>0</v>
      </c>
      <c r="CG55" s="56">
        <f t="shared" si="203"/>
        <v>0</v>
      </c>
      <c r="CH55" s="54"/>
      <c r="CI55" s="11"/>
      <c r="CJ55" s="12" t="e">
        <f t="shared" ca="1" si="204"/>
        <v>#NAME?</v>
      </c>
      <c r="CK55" s="16"/>
      <c r="CL55" s="60">
        <f t="shared" si="74"/>
        <v>37.034874022175799</v>
      </c>
      <c r="CM55" s="60">
        <f t="shared" si="75"/>
        <v>0</v>
      </c>
      <c r="CN55" s="60">
        <f t="shared" si="76"/>
        <v>2.4224649799984821</v>
      </c>
      <c r="CO55" s="60">
        <f t="shared" si="77"/>
        <v>0</v>
      </c>
      <c r="CP55" s="60">
        <f t="shared" si="78"/>
        <v>0</v>
      </c>
      <c r="CQ55" s="60">
        <f t="shared" si="79"/>
        <v>0.7714906126919403</v>
      </c>
      <c r="CR55" s="60">
        <f t="shared" si="80"/>
        <v>0.7714906126919403</v>
      </c>
      <c r="CS55" s="60">
        <f t="shared" si="81"/>
        <v>0</v>
      </c>
      <c r="CT55" s="60">
        <f t="shared" si="82"/>
        <v>0.46526111405240744</v>
      </c>
      <c r="CU55" s="60">
        <f t="shared" si="83"/>
        <v>0</v>
      </c>
      <c r="CV55" s="60">
        <f t="shared" si="84"/>
        <v>0</v>
      </c>
      <c r="CW55" s="60">
        <f t="shared" si="85"/>
        <v>1.6258807073297705</v>
      </c>
      <c r="CX55" s="60">
        <f t="shared" si="86"/>
        <v>1.4725430016901162</v>
      </c>
      <c r="CY55" s="60">
        <f t="shared" si="87"/>
        <v>3.4517971268659338</v>
      </c>
      <c r="CZ55" s="60">
        <f t="shared" si="88"/>
        <v>0</v>
      </c>
      <c r="DA55" s="60">
        <f t="shared" si="89"/>
        <v>0</v>
      </c>
      <c r="DB55" s="60">
        <f t="shared" si="90"/>
        <v>0</v>
      </c>
      <c r="DC55" s="60">
        <f t="shared" si="91"/>
        <v>0</v>
      </c>
      <c r="DD55" s="60">
        <f t="shared" si="92"/>
        <v>0</v>
      </c>
      <c r="DE55" s="60">
        <f t="shared" si="93"/>
        <v>0</v>
      </c>
      <c r="DF55" s="54"/>
      <c r="DG55" s="21">
        <f t="shared" si="94"/>
        <v>0</v>
      </c>
      <c r="DH55" s="21">
        <f t="shared" si="95"/>
        <v>0</v>
      </c>
      <c r="DI55" s="21">
        <f t="shared" si="96"/>
        <v>0</v>
      </c>
      <c r="DJ55" s="21">
        <f t="shared" si="97"/>
        <v>0</v>
      </c>
      <c r="DK55" s="21">
        <f t="shared" si="98"/>
        <v>0</v>
      </c>
      <c r="DL55" s="21">
        <f t="shared" si="99"/>
        <v>47.334849549061921</v>
      </c>
      <c r="DM55" s="21">
        <f t="shared" si="100"/>
        <v>0</v>
      </c>
      <c r="DN55" s="21">
        <f t="shared" si="101"/>
        <v>5.4208388861336356</v>
      </c>
      <c r="DO55" s="21">
        <f t="shared" si="102"/>
        <v>0</v>
      </c>
      <c r="DP55" s="21">
        <f t="shared" si="103"/>
        <v>0</v>
      </c>
      <c r="DQ55" s="21">
        <f t="shared" si="104"/>
        <v>0</v>
      </c>
      <c r="DR55" s="21">
        <f t="shared" si="105"/>
        <v>0</v>
      </c>
      <c r="DS55" s="21">
        <f t="shared" si="106"/>
        <v>0</v>
      </c>
      <c r="DT55" s="21">
        <f t="shared" si="107"/>
        <v>0</v>
      </c>
      <c r="DU55" s="21">
        <f t="shared" si="108"/>
        <v>0</v>
      </c>
      <c r="DV55" s="21">
        <f t="shared" si="109"/>
        <v>0</v>
      </c>
      <c r="DW55" s="16"/>
      <c r="DX55" s="60" t="e">
        <f t="shared" ca="1" si="205"/>
        <v>#NAME?</v>
      </c>
    </row>
    <row r="56" spans="1:128" s="19" customFormat="1" ht="16" customHeight="1">
      <c r="A56" s="18"/>
      <c r="B56" s="17" t="s">
        <v>422</v>
      </c>
      <c r="C56" s="16"/>
      <c r="D56" s="16"/>
      <c r="E56" s="16"/>
      <c r="F56" s="16"/>
      <c r="G56" s="16"/>
      <c r="H56" s="20">
        <v>10.06</v>
      </c>
      <c r="I56" s="20">
        <v>5.04</v>
      </c>
      <c r="J56" s="20">
        <v>6.44</v>
      </c>
      <c r="K56" s="20"/>
      <c r="L56" s="20">
        <v>5.75</v>
      </c>
      <c r="M56" s="20"/>
      <c r="N56" s="20"/>
      <c r="O56" s="20">
        <v>3.8</v>
      </c>
      <c r="P56" s="20"/>
      <c r="Q56" s="20"/>
      <c r="R56" s="20">
        <v>7.03</v>
      </c>
      <c r="S56" s="20"/>
      <c r="T56" s="20"/>
      <c r="U56" s="20"/>
      <c r="V56" s="20"/>
      <c r="W56" s="20"/>
      <c r="X56" s="20"/>
      <c r="Y56" s="20">
        <v>61.87</v>
      </c>
      <c r="Z56" s="20"/>
      <c r="AA56" s="20"/>
      <c r="AB56" s="55"/>
      <c r="AC56" s="20"/>
      <c r="AD56" s="20"/>
      <c r="AE56" s="20"/>
      <c r="AF56" s="20"/>
      <c r="AG56" s="20"/>
      <c r="AH56" s="20"/>
      <c r="AI56" s="20"/>
      <c r="AJ56" s="20"/>
      <c r="AK56" s="20"/>
      <c r="AL56" s="20"/>
      <c r="AM56" s="20"/>
      <c r="AN56" s="20"/>
      <c r="AO56" s="20"/>
      <c r="AP56" s="20"/>
      <c r="AQ56" s="20"/>
      <c r="AS56" s="55"/>
      <c r="AT56" s="20"/>
      <c r="AU56" s="20">
        <v>0</v>
      </c>
      <c r="AV56" s="20"/>
      <c r="AW56" s="11">
        <f t="shared" ref="AW56:AW63" si="206">28.0855*H56*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11.858354263081566</v>
      </c>
      <c r="AX56" s="11">
        <f t="shared" ref="AX56:AX63" si="207">I56*47.867*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10.125372885243108</v>
      </c>
      <c r="AY56" s="11">
        <f t="shared" ref="AY56:AY63" si="208">J56*26.981539*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7.2928430141303311</v>
      </c>
      <c r="AZ56" s="11">
        <f t="shared" ref="AZ56:AZ63" si="209">K56*51.9961*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A56" s="11">
        <f t="shared" ref="BA56:BA63" si="210">L56*55.845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13.477099038905703</v>
      </c>
      <c r="BB56" s="11">
        <f t="shared" ref="BB56:BB63" si="211">M57*55.845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C56" s="11">
        <f t="shared" ref="BC56:BC63" si="212">N56*54.938044*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D56" s="11">
        <f t="shared" ref="BD56:BD63" si="213">O56*24.305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3.8763546310534722</v>
      </c>
      <c r="BE56" s="11">
        <f t="shared" ref="BE56:BE63" si="214">P56*58.6934*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F56" s="11">
        <f t="shared" ref="BF56:BF63" si="215">Q56*65.38*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G56" s="11">
        <f t="shared" ref="BG56:BG63" si="216">R56*40.078*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11.825122430414236</v>
      </c>
      <c r="BH56" s="11">
        <f t="shared" ref="BH56:BH63" si="217">S56*22.989769*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I56" s="11">
        <f t="shared" ref="BI56:BI63" si="218">T56*39.0983*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J56" s="56">
        <f t="shared" ref="BJ56:BJ63" si="219">U56*30.973762*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K56" s="11">
        <f t="shared" ref="BK56:BK63" si="220">V56*32.065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L56" s="34">
        <f t="shared" ref="BL56:BL63" si="221">W56*18.9984*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M56" s="11">
        <f t="shared" ref="BM56:BM63" si="222">X56*35.453*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N56" s="11">
        <f t="shared" ref="BN56:BN63" si="223">AA56*12.011*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O56" s="11">
        <f t="shared" ref="BO56:BO63" si="224">Y56*15.999*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41.544853737171579</v>
      </c>
      <c r="BP56" s="11">
        <f t="shared" ref="BP56:BP63" si="225">Z56*1.00784*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Q56" s="54"/>
      <c r="BR56" s="56">
        <f t="shared" ref="BR56:BR63" si="226">AC56*58.933195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S56" s="56">
        <f t="shared" ref="BS56:BS63" si="227">AD56*63.546*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T56" s="56">
        <f t="shared" ref="BT56:BT63" si="228">AE56*9.012182*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U56" s="56">
        <f t="shared" ref="BU56:BU63" si="229">AF56*137.327*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V56" s="56">
        <f t="shared" ref="BV56:BV63" si="230">AG56*87.62*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W56" s="56">
        <f t="shared" ref="BW56:BW63" si="231">AH56*207.2*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X56" s="56">
        <f t="shared" ref="BX56:BX63" si="232">AI56*50.9415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BY56" s="56">
        <f t="shared" si="195"/>
        <v>0</v>
      </c>
      <c r="BZ56" s="56">
        <f t="shared" ref="BZ56:BZ63" si="233">AK56*91.224*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CA56" s="56">
        <f t="shared" ref="CA56:CA63" si="234">AL56*88.90585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CB56" s="56">
        <f t="shared" ref="CB56:CB63" si="235">AM56*95.95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CC56" s="56">
        <f t="shared" ref="CC56:CC63" si="236">AN56*183.84*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CD56" s="56">
        <f t="shared" ref="CD56:CD63" si="237">AO56*74.9216*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CE56" s="56">
        <f t="shared" ref="CE56:CE63" si="238">AP56*78.96*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CF56" s="56">
        <f t="shared" ref="CF56:CF63" si="239">AQ56*121.75*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CG56" s="56">
        <f t="shared" ref="CG56:CG63" si="240">AR56*127.6*100/(H56*28.0855+I56*47.867+J56*26.981539+K56*51.9961+L56*55.845+M56*55.845+N56*54.938044+O56*24.305+P56*58.6934+Q56*65.38+R56*40.078+S56*22.989769+T56*39.0983+U56*30.973762+AC56*58.933195+AD56*63.546+AE56*9.012182+AF56*137.327+AG56*87.62+AH56*207.2+AI56*50.9415+AJ56*118.71+AK56*91.224+AL56*88.90585+AM56*95.95+AN56*183.84+AO56*74.9216+W56*18.9984+X56*35.453+Y56*15.999+V56*32.065+Z56*1.00784+AA56*12.011+AP56*78.96+AQ56*121.75+AR56*127.6)</f>
        <v>0</v>
      </c>
      <c r="CH56" s="54"/>
      <c r="CI56" s="11"/>
      <c r="CJ56" s="12" t="e">
        <f t="shared" ref="CJ56:CJ63" ca="1" si="241">SUMA(AW56:CG56)</f>
        <v>#NAME?</v>
      </c>
      <c r="CK56" s="16"/>
      <c r="CL56" s="60">
        <f t="shared" si="74"/>
        <v>26.328714218098444</v>
      </c>
      <c r="CM56" s="60">
        <f t="shared" si="75"/>
        <v>17.533366163949257</v>
      </c>
      <c r="CN56" s="60">
        <f t="shared" si="76"/>
        <v>14.300880916916356</v>
      </c>
      <c r="CO56" s="60">
        <f t="shared" si="77"/>
        <v>0</v>
      </c>
      <c r="CP56" s="60">
        <f t="shared" si="78"/>
        <v>0</v>
      </c>
      <c r="CQ56" s="60">
        <f t="shared" si="79"/>
        <v>17.994143569511493</v>
      </c>
      <c r="CR56" s="60">
        <f t="shared" si="80"/>
        <v>17.994143569511493</v>
      </c>
      <c r="CS56" s="60">
        <f t="shared" si="81"/>
        <v>0</v>
      </c>
      <c r="CT56" s="60">
        <f t="shared" si="82"/>
        <v>6.6712094979151617</v>
      </c>
      <c r="CU56" s="60">
        <f t="shared" si="83"/>
        <v>0</v>
      </c>
      <c r="CV56" s="60">
        <f t="shared" si="84"/>
        <v>0</v>
      </c>
      <c r="CW56" s="60">
        <f t="shared" si="85"/>
        <v>17.17168563360929</v>
      </c>
      <c r="CX56" s="60">
        <f t="shared" si="86"/>
        <v>0</v>
      </c>
      <c r="CY56" s="60">
        <f t="shared" si="87"/>
        <v>0</v>
      </c>
      <c r="CZ56" s="60">
        <f t="shared" si="88"/>
        <v>0</v>
      </c>
      <c r="DA56" s="60">
        <f t="shared" si="89"/>
        <v>0</v>
      </c>
      <c r="DB56" s="60">
        <f t="shared" si="90"/>
        <v>0</v>
      </c>
      <c r="DC56" s="60">
        <f t="shared" si="91"/>
        <v>0</v>
      </c>
      <c r="DD56" s="60">
        <f t="shared" si="92"/>
        <v>0</v>
      </c>
      <c r="DE56" s="60">
        <f t="shared" si="93"/>
        <v>0</v>
      </c>
      <c r="DF56" s="54"/>
      <c r="DG56" s="21">
        <f t="shared" si="94"/>
        <v>0</v>
      </c>
      <c r="DH56" s="21">
        <f t="shared" si="95"/>
        <v>0</v>
      </c>
      <c r="DI56" s="21">
        <f t="shared" si="96"/>
        <v>0</v>
      </c>
      <c r="DJ56" s="21">
        <f t="shared" si="97"/>
        <v>0</v>
      </c>
      <c r="DK56" s="21">
        <f t="shared" si="98"/>
        <v>0</v>
      </c>
      <c r="DL56" s="21">
        <f t="shared" si="99"/>
        <v>0</v>
      </c>
      <c r="DM56" s="21">
        <f t="shared" si="100"/>
        <v>0</v>
      </c>
      <c r="DN56" s="21">
        <f t="shared" si="101"/>
        <v>0</v>
      </c>
      <c r="DO56" s="21">
        <f t="shared" si="102"/>
        <v>0</v>
      </c>
      <c r="DP56" s="21">
        <f t="shared" si="103"/>
        <v>0</v>
      </c>
      <c r="DQ56" s="21">
        <f t="shared" si="104"/>
        <v>0</v>
      </c>
      <c r="DR56" s="21">
        <f t="shared" si="105"/>
        <v>0</v>
      </c>
      <c r="DS56" s="21">
        <f t="shared" si="106"/>
        <v>0</v>
      </c>
      <c r="DT56" s="21">
        <f t="shared" si="107"/>
        <v>0</v>
      </c>
      <c r="DU56" s="21">
        <f t="shared" si="108"/>
        <v>0</v>
      </c>
      <c r="DV56" s="21">
        <f t="shared" si="109"/>
        <v>0</v>
      </c>
      <c r="DW56" s="16"/>
      <c r="DX56" s="60" t="e">
        <f t="shared" ca="1" si="205"/>
        <v>#NAME?</v>
      </c>
    </row>
    <row r="57" spans="1:128" s="19" customFormat="1" ht="16" customHeight="1">
      <c r="A57" s="18"/>
      <c r="B57" s="17" t="s">
        <v>423</v>
      </c>
      <c r="C57" s="16"/>
      <c r="D57" s="16"/>
      <c r="E57" s="16"/>
      <c r="F57" s="16"/>
      <c r="G57" s="16"/>
      <c r="H57" s="20">
        <v>14.52</v>
      </c>
      <c r="I57" s="20"/>
      <c r="J57" s="20">
        <v>7.89</v>
      </c>
      <c r="K57" s="20"/>
      <c r="L57" s="20">
        <v>2.54</v>
      </c>
      <c r="M57" s="20"/>
      <c r="N57" s="20"/>
      <c r="O57" s="20">
        <v>5.92</v>
      </c>
      <c r="P57" s="20"/>
      <c r="Q57" s="20"/>
      <c r="R57" s="20">
        <v>4.8</v>
      </c>
      <c r="S57" s="20"/>
      <c r="T57" s="20"/>
      <c r="U57" s="20">
        <v>3.39</v>
      </c>
      <c r="V57" s="20"/>
      <c r="W57" s="20"/>
      <c r="X57" s="20"/>
      <c r="Y57" s="20">
        <v>60.95</v>
      </c>
      <c r="Z57" s="20"/>
      <c r="AA57" s="20"/>
      <c r="AB57" s="55"/>
      <c r="AC57" s="20"/>
      <c r="AD57" s="20"/>
      <c r="AE57" s="20"/>
      <c r="AF57" s="20"/>
      <c r="AG57" s="20"/>
      <c r="AH57" s="20"/>
      <c r="AI57" s="20"/>
      <c r="AJ57" s="20"/>
      <c r="AK57" s="20"/>
      <c r="AL57" s="20"/>
      <c r="AM57" s="20"/>
      <c r="AN57" s="20"/>
      <c r="AO57" s="20"/>
      <c r="AP57" s="20"/>
      <c r="AQ57" s="20"/>
      <c r="AS57" s="55"/>
      <c r="AT57" s="20"/>
      <c r="AU57" s="20">
        <v>0</v>
      </c>
      <c r="AV57" s="20"/>
      <c r="AW57" s="11">
        <f t="shared" si="206"/>
        <v>18.715656177720799</v>
      </c>
      <c r="AX57" s="11">
        <f t="shared" si="207"/>
        <v>0</v>
      </c>
      <c r="AY57" s="11">
        <f t="shared" si="208"/>
        <v>9.7701223624369664</v>
      </c>
      <c r="AZ57" s="11">
        <f t="shared" si="209"/>
        <v>0</v>
      </c>
      <c r="BA57" s="11">
        <f t="shared" si="210"/>
        <v>6.509899647936126</v>
      </c>
      <c r="BB57" s="11">
        <f t="shared" si="211"/>
        <v>0</v>
      </c>
      <c r="BC57" s="11">
        <f t="shared" si="212"/>
        <v>0</v>
      </c>
      <c r="BD57" s="11">
        <f t="shared" si="213"/>
        <v>6.6034913620099935</v>
      </c>
      <c r="BE57" s="11">
        <f t="shared" si="214"/>
        <v>0</v>
      </c>
      <c r="BF57" s="11">
        <f t="shared" si="215"/>
        <v>0</v>
      </c>
      <c r="BG57" s="11">
        <f t="shared" si="216"/>
        <v>8.8288382483852157</v>
      </c>
      <c r="BH57" s="11">
        <f t="shared" si="217"/>
        <v>0</v>
      </c>
      <c r="BI57" s="11">
        <f t="shared" si="218"/>
        <v>0</v>
      </c>
      <c r="BJ57" s="56">
        <f t="shared" si="219"/>
        <v>4.8189224472503298</v>
      </c>
      <c r="BK57" s="11">
        <f t="shared" si="220"/>
        <v>0</v>
      </c>
      <c r="BL57" s="34">
        <f t="shared" si="221"/>
        <v>0</v>
      </c>
      <c r="BM57" s="11">
        <f t="shared" si="222"/>
        <v>0</v>
      </c>
      <c r="BN57" s="11">
        <f t="shared" si="223"/>
        <v>0</v>
      </c>
      <c r="BO57" s="11">
        <f t="shared" si="224"/>
        <v>44.753069754260558</v>
      </c>
      <c r="BP57" s="11">
        <f t="shared" si="225"/>
        <v>0</v>
      </c>
      <c r="BQ57" s="54"/>
      <c r="BR57" s="56">
        <f t="shared" si="226"/>
        <v>0</v>
      </c>
      <c r="BS57" s="56">
        <f t="shared" si="227"/>
        <v>0</v>
      </c>
      <c r="BT57" s="56">
        <f t="shared" si="228"/>
        <v>0</v>
      </c>
      <c r="BU57" s="56">
        <f t="shared" si="229"/>
        <v>0</v>
      </c>
      <c r="BV57" s="56">
        <f t="shared" si="230"/>
        <v>0</v>
      </c>
      <c r="BW57" s="56">
        <f t="shared" si="231"/>
        <v>0</v>
      </c>
      <c r="BX57" s="56">
        <f t="shared" si="232"/>
        <v>0</v>
      </c>
      <c r="BY57" s="56">
        <f t="shared" si="195"/>
        <v>0</v>
      </c>
      <c r="BZ57" s="56">
        <f t="shared" si="233"/>
        <v>0</v>
      </c>
      <c r="CA57" s="56">
        <f t="shared" si="234"/>
        <v>0</v>
      </c>
      <c r="CB57" s="56">
        <f t="shared" si="235"/>
        <v>0</v>
      </c>
      <c r="CC57" s="56">
        <f t="shared" si="236"/>
        <v>0</v>
      </c>
      <c r="CD57" s="56">
        <f t="shared" si="237"/>
        <v>0</v>
      </c>
      <c r="CE57" s="56">
        <f t="shared" si="238"/>
        <v>0</v>
      </c>
      <c r="CF57" s="56">
        <f t="shared" si="239"/>
        <v>0</v>
      </c>
      <c r="CG57" s="56">
        <f t="shared" si="240"/>
        <v>0</v>
      </c>
      <c r="CH57" s="54"/>
      <c r="CI57" s="11"/>
      <c r="CJ57" s="12" t="e">
        <f t="shared" ca="1" si="241"/>
        <v>#NAME?</v>
      </c>
      <c r="CK57" s="16"/>
      <c r="CL57" s="60">
        <f t="shared" si="74"/>
        <v>39.556599475384047</v>
      </c>
      <c r="CM57" s="60">
        <f t="shared" si="75"/>
        <v>0</v>
      </c>
      <c r="CN57" s="60">
        <f t="shared" si="76"/>
        <v>18.237889913587807</v>
      </c>
      <c r="CO57" s="60">
        <f t="shared" si="77"/>
        <v>0</v>
      </c>
      <c r="CP57" s="60">
        <f t="shared" si="78"/>
        <v>0</v>
      </c>
      <c r="CQ57" s="60">
        <f t="shared" si="79"/>
        <v>8.2740419210649954</v>
      </c>
      <c r="CR57" s="60">
        <f t="shared" si="80"/>
        <v>8.2740419210649954</v>
      </c>
      <c r="CS57" s="60">
        <f t="shared" si="81"/>
        <v>0</v>
      </c>
      <c r="CT57" s="60">
        <f t="shared" si="82"/>
        <v>10.818407921190868</v>
      </c>
      <c r="CU57" s="60">
        <f t="shared" si="83"/>
        <v>0</v>
      </c>
      <c r="CV57" s="60">
        <f t="shared" si="84"/>
        <v>0</v>
      </c>
      <c r="CW57" s="60">
        <f t="shared" si="85"/>
        <v>12.204486329502947</v>
      </c>
      <c r="CX57" s="60">
        <f t="shared" si="86"/>
        <v>0</v>
      </c>
      <c r="CY57" s="60">
        <f t="shared" si="87"/>
        <v>0</v>
      </c>
      <c r="CZ57" s="60">
        <f t="shared" si="88"/>
        <v>10.908574439269344</v>
      </c>
      <c r="DA57" s="60">
        <f t="shared" si="89"/>
        <v>0</v>
      </c>
      <c r="DB57" s="60">
        <f t="shared" si="90"/>
        <v>0</v>
      </c>
      <c r="DC57" s="60">
        <f t="shared" si="91"/>
        <v>0</v>
      </c>
      <c r="DD57" s="60">
        <f t="shared" si="92"/>
        <v>0</v>
      </c>
      <c r="DE57" s="60">
        <f t="shared" si="93"/>
        <v>0</v>
      </c>
      <c r="DF57" s="54"/>
      <c r="DG57" s="21">
        <f t="shared" si="94"/>
        <v>0</v>
      </c>
      <c r="DH57" s="21">
        <f t="shared" si="95"/>
        <v>0</v>
      </c>
      <c r="DI57" s="21">
        <f t="shared" si="96"/>
        <v>0</v>
      </c>
      <c r="DJ57" s="21">
        <f t="shared" si="97"/>
        <v>0</v>
      </c>
      <c r="DK57" s="21">
        <f t="shared" si="98"/>
        <v>0</v>
      </c>
      <c r="DL57" s="21">
        <f t="shared" si="99"/>
        <v>0</v>
      </c>
      <c r="DM57" s="21">
        <f t="shared" si="100"/>
        <v>0</v>
      </c>
      <c r="DN57" s="21">
        <f t="shared" si="101"/>
        <v>0</v>
      </c>
      <c r="DO57" s="21">
        <f t="shared" si="102"/>
        <v>0</v>
      </c>
      <c r="DP57" s="21">
        <f t="shared" si="103"/>
        <v>0</v>
      </c>
      <c r="DQ57" s="21">
        <f t="shared" si="104"/>
        <v>0</v>
      </c>
      <c r="DR57" s="21">
        <f t="shared" si="105"/>
        <v>0</v>
      </c>
      <c r="DS57" s="21">
        <f t="shared" si="106"/>
        <v>0</v>
      </c>
      <c r="DT57" s="21">
        <f t="shared" si="107"/>
        <v>0</v>
      </c>
      <c r="DU57" s="21">
        <f t="shared" si="108"/>
        <v>0</v>
      </c>
      <c r="DV57" s="21">
        <f t="shared" si="109"/>
        <v>0</v>
      </c>
      <c r="DW57" s="16"/>
      <c r="DX57" s="60" t="e">
        <f t="shared" ca="1" si="205"/>
        <v>#NAME?</v>
      </c>
    </row>
    <row r="58" spans="1:128" s="19" customFormat="1" ht="16" customHeight="1">
      <c r="A58" s="18"/>
      <c r="B58" s="17" t="s">
        <v>424</v>
      </c>
      <c r="C58" s="16"/>
      <c r="D58" s="16"/>
      <c r="E58" s="16"/>
      <c r="F58" s="16"/>
      <c r="G58" s="16"/>
      <c r="H58" s="20">
        <v>35.89</v>
      </c>
      <c r="I58" s="20"/>
      <c r="J58" s="20"/>
      <c r="K58" s="20"/>
      <c r="L58" s="20"/>
      <c r="M58" s="20"/>
      <c r="N58" s="20"/>
      <c r="O58" s="20"/>
      <c r="P58" s="20"/>
      <c r="Q58" s="20"/>
      <c r="R58" s="20"/>
      <c r="S58" s="20"/>
      <c r="T58" s="20"/>
      <c r="U58" s="20"/>
      <c r="V58" s="20"/>
      <c r="W58" s="20"/>
      <c r="X58" s="20"/>
      <c r="Y58" s="20">
        <v>64.11</v>
      </c>
      <c r="Z58" s="20"/>
      <c r="AA58" s="20"/>
      <c r="AB58" s="55"/>
      <c r="AC58" s="20"/>
      <c r="AD58" s="20"/>
      <c r="AE58" s="20"/>
      <c r="AF58" s="20"/>
      <c r="AG58" s="20"/>
      <c r="AH58" s="20"/>
      <c r="AI58" s="20"/>
      <c r="AJ58" s="20"/>
      <c r="AK58" s="20"/>
      <c r="AL58" s="20"/>
      <c r="AM58" s="20"/>
      <c r="AN58" s="20"/>
      <c r="AO58" s="20"/>
      <c r="AP58" s="20"/>
      <c r="AQ58" s="20"/>
      <c r="AS58" s="55"/>
      <c r="AT58" s="20"/>
      <c r="AU58" s="20">
        <v>0</v>
      </c>
      <c r="AV58" s="20"/>
      <c r="AW58" s="11">
        <f t="shared" si="206"/>
        <v>49.564649897007008</v>
      </c>
      <c r="AX58" s="11">
        <f t="shared" si="207"/>
        <v>0</v>
      </c>
      <c r="AY58" s="11">
        <f t="shared" si="208"/>
        <v>0</v>
      </c>
      <c r="AZ58" s="11">
        <f t="shared" si="209"/>
        <v>0</v>
      </c>
      <c r="BA58" s="11">
        <f t="shared" si="210"/>
        <v>0</v>
      </c>
      <c r="BB58" s="11">
        <f t="shared" si="211"/>
        <v>0</v>
      </c>
      <c r="BC58" s="11">
        <f t="shared" si="212"/>
        <v>0</v>
      </c>
      <c r="BD58" s="11">
        <f t="shared" si="213"/>
        <v>0</v>
      </c>
      <c r="BE58" s="11">
        <f t="shared" si="214"/>
        <v>0</v>
      </c>
      <c r="BF58" s="11">
        <f t="shared" si="215"/>
        <v>0</v>
      </c>
      <c r="BG58" s="11">
        <f t="shared" si="216"/>
        <v>0</v>
      </c>
      <c r="BH58" s="11">
        <f t="shared" si="217"/>
        <v>0</v>
      </c>
      <c r="BI58" s="11">
        <f t="shared" si="218"/>
        <v>0</v>
      </c>
      <c r="BJ58" s="56">
        <f t="shared" si="219"/>
        <v>0</v>
      </c>
      <c r="BK58" s="11">
        <f t="shared" si="220"/>
        <v>0</v>
      </c>
      <c r="BL58" s="34">
        <f t="shared" si="221"/>
        <v>0</v>
      </c>
      <c r="BM58" s="11">
        <f t="shared" si="222"/>
        <v>0</v>
      </c>
      <c r="BN58" s="11">
        <f t="shared" si="223"/>
        <v>0</v>
      </c>
      <c r="BO58" s="11">
        <f t="shared" si="224"/>
        <v>50.435350102992992</v>
      </c>
      <c r="BP58" s="11">
        <f t="shared" si="225"/>
        <v>0</v>
      </c>
      <c r="BQ58" s="54"/>
      <c r="BR58" s="56">
        <f t="shared" si="226"/>
        <v>0</v>
      </c>
      <c r="BS58" s="56">
        <f t="shared" si="227"/>
        <v>0</v>
      </c>
      <c r="BT58" s="56">
        <f t="shared" si="228"/>
        <v>0</v>
      </c>
      <c r="BU58" s="56">
        <f t="shared" si="229"/>
        <v>0</v>
      </c>
      <c r="BV58" s="56">
        <f t="shared" si="230"/>
        <v>0</v>
      </c>
      <c r="BW58" s="56">
        <f t="shared" si="231"/>
        <v>0</v>
      </c>
      <c r="BX58" s="56">
        <f t="shared" si="232"/>
        <v>0</v>
      </c>
      <c r="BY58" s="56">
        <f t="shared" si="195"/>
        <v>0</v>
      </c>
      <c r="BZ58" s="56">
        <f t="shared" si="233"/>
        <v>0</v>
      </c>
      <c r="CA58" s="56">
        <f t="shared" si="234"/>
        <v>0</v>
      </c>
      <c r="CB58" s="56">
        <f t="shared" si="235"/>
        <v>0</v>
      </c>
      <c r="CC58" s="56">
        <f t="shared" si="236"/>
        <v>0</v>
      </c>
      <c r="CD58" s="56">
        <f t="shared" si="237"/>
        <v>0</v>
      </c>
      <c r="CE58" s="56">
        <f t="shared" si="238"/>
        <v>0</v>
      </c>
      <c r="CF58" s="56">
        <f t="shared" si="239"/>
        <v>0</v>
      </c>
      <c r="CG58" s="56">
        <f t="shared" si="240"/>
        <v>0</v>
      </c>
      <c r="CH58" s="54"/>
      <c r="CI58" s="11"/>
      <c r="CJ58" s="12" t="e">
        <f t="shared" ca="1" si="241"/>
        <v>#NAME?</v>
      </c>
      <c r="CK58" s="16"/>
      <c r="CL58" s="60">
        <f t="shared" si="74"/>
        <v>100</v>
      </c>
      <c r="CM58" s="60">
        <f t="shared" si="75"/>
        <v>0</v>
      </c>
      <c r="CN58" s="60">
        <f t="shared" si="76"/>
        <v>0</v>
      </c>
      <c r="CO58" s="60">
        <f t="shared" si="77"/>
        <v>0</v>
      </c>
      <c r="CP58" s="60">
        <f t="shared" si="78"/>
        <v>0</v>
      </c>
      <c r="CQ58" s="60">
        <f t="shared" si="79"/>
        <v>0</v>
      </c>
      <c r="CR58" s="60">
        <f t="shared" si="80"/>
        <v>0</v>
      </c>
      <c r="CS58" s="60">
        <f t="shared" si="81"/>
        <v>0</v>
      </c>
      <c r="CT58" s="60">
        <f t="shared" si="82"/>
        <v>0</v>
      </c>
      <c r="CU58" s="60">
        <f t="shared" si="83"/>
        <v>0</v>
      </c>
      <c r="CV58" s="60">
        <f t="shared" si="84"/>
        <v>0</v>
      </c>
      <c r="CW58" s="60">
        <f t="shared" si="85"/>
        <v>0</v>
      </c>
      <c r="CX58" s="60">
        <f t="shared" si="86"/>
        <v>0</v>
      </c>
      <c r="CY58" s="60">
        <f t="shared" si="87"/>
        <v>0</v>
      </c>
      <c r="CZ58" s="60">
        <f t="shared" si="88"/>
        <v>0</v>
      </c>
      <c r="DA58" s="60">
        <f t="shared" si="89"/>
        <v>0</v>
      </c>
      <c r="DB58" s="60">
        <f t="shared" si="90"/>
        <v>0</v>
      </c>
      <c r="DC58" s="60">
        <f t="shared" si="91"/>
        <v>0</v>
      </c>
      <c r="DD58" s="60">
        <f t="shared" si="92"/>
        <v>0</v>
      </c>
      <c r="DE58" s="60">
        <f t="shared" si="93"/>
        <v>0</v>
      </c>
      <c r="DF58" s="54"/>
      <c r="DG58" s="21">
        <f t="shared" si="94"/>
        <v>0</v>
      </c>
      <c r="DH58" s="21">
        <f t="shared" si="95"/>
        <v>0</v>
      </c>
      <c r="DI58" s="21">
        <f t="shared" si="96"/>
        <v>0</v>
      </c>
      <c r="DJ58" s="21">
        <f t="shared" si="97"/>
        <v>0</v>
      </c>
      <c r="DK58" s="21">
        <f t="shared" si="98"/>
        <v>0</v>
      </c>
      <c r="DL58" s="21">
        <f t="shared" si="99"/>
        <v>0</v>
      </c>
      <c r="DM58" s="21">
        <f t="shared" si="100"/>
        <v>0</v>
      </c>
      <c r="DN58" s="21">
        <f t="shared" si="101"/>
        <v>0</v>
      </c>
      <c r="DO58" s="21">
        <f t="shared" si="102"/>
        <v>0</v>
      </c>
      <c r="DP58" s="21">
        <f t="shared" si="103"/>
        <v>0</v>
      </c>
      <c r="DQ58" s="21">
        <f t="shared" si="104"/>
        <v>0</v>
      </c>
      <c r="DR58" s="21">
        <f t="shared" si="105"/>
        <v>0</v>
      </c>
      <c r="DS58" s="21">
        <f t="shared" si="106"/>
        <v>0</v>
      </c>
      <c r="DT58" s="21">
        <f t="shared" si="107"/>
        <v>0</v>
      </c>
      <c r="DU58" s="21">
        <f t="shared" si="108"/>
        <v>0</v>
      </c>
      <c r="DV58" s="21">
        <f t="shared" si="109"/>
        <v>0</v>
      </c>
      <c r="DW58" s="16"/>
      <c r="DX58" s="60" t="e">
        <f t="shared" ca="1" si="205"/>
        <v>#NAME?</v>
      </c>
    </row>
    <row r="59" spans="1:128" s="19" customFormat="1" ht="16" customHeight="1">
      <c r="A59" s="18"/>
      <c r="B59" s="17" t="s">
        <v>425</v>
      </c>
      <c r="C59" s="16"/>
      <c r="D59" s="16"/>
      <c r="E59" s="16"/>
      <c r="F59" s="16"/>
      <c r="G59" s="16"/>
      <c r="H59" s="20">
        <v>20.149999999999999</v>
      </c>
      <c r="I59" s="20"/>
      <c r="J59" s="20">
        <v>12.99</v>
      </c>
      <c r="K59" s="20"/>
      <c r="L59" s="20"/>
      <c r="M59" s="20"/>
      <c r="N59" s="20"/>
      <c r="O59" s="20"/>
      <c r="P59" s="20"/>
      <c r="Q59" s="20"/>
      <c r="R59" s="20"/>
      <c r="S59" s="20"/>
      <c r="T59" s="20"/>
      <c r="U59" s="20"/>
      <c r="V59" s="20"/>
      <c r="W59" s="20"/>
      <c r="X59" s="20"/>
      <c r="Y59" s="20">
        <v>66.87</v>
      </c>
      <c r="Z59" s="20"/>
      <c r="AA59" s="20"/>
      <c r="AB59" s="55"/>
      <c r="AC59" s="20"/>
      <c r="AD59" s="20"/>
      <c r="AE59" s="20"/>
      <c r="AF59" s="20"/>
      <c r="AG59" s="20"/>
      <c r="AH59" s="20"/>
      <c r="AI59" s="20"/>
      <c r="AJ59" s="20"/>
      <c r="AK59" s="20"/>
      <c r="AL59" s="20"/>
      <c r="AM59" s="20"/>
      <c r="AN59" s="20"/>
      <c r="AO59" s="20"/>
      <c r="AP59" s="20"/>
      <c r="AQ59" s="20"/>
      <c r="AS59" s="55"/>
      <c r="AT59" s="20"/>
      <c r="AU59" s="20">
        <v>0</v>
      </c>
      <c r="AV59" s="20"/>
      <c r="AW59" s="11">
        <f t="shared" si="206"/>
        <v>28.491792299127269</v>
      </c>
      <c r="AX59" s="11">
        <f t="shared" si="207"/>
        <v>0</v>
      </c>
      <c r="AY59" s="11">
        <f t="shared" si="208"/>
        <v>17.645681179643955</v>
      </c>
      <c r="AZ59" s="11">
        <f t="shared" si="209"/>
        <v>0</v>
      </c>
      <c r="BA59" s="11">
        <f t="shared" si="210"/>
        <v>0</v>
      </c>
      <c r="BB59" s="11">
        <f t="shared" si="211"/>
        <v>0</v>
      </c>
      <c r="BC59" s="11">
        <f t="shared" si="212"/>
        <v>0</v>
      </c>
      <c r="BD59" s="11">
        <f t="shared" si="213"/>
        <v>0</v>
      </c>
      <c r="BE59" s="11">
        <f t="shared" si="214"/>
        <v>0</v>
      </c>
      <c r="BF59" s="11">
        <f t="shared" si="215"/>
        <v>0</v>
      </c>
      <c r="BG59" s="11">
        <f t="shared" si="216"/>
        <v>0</v>
      </c>
      <c r="BH59" s="11">
        <f t="shared" si="217"/>
        <v>0</v>
      </c>
      <c r="BI59" s="11">
        <f t="shared" si="218"/>
        <v>0</v>
      </c>
      <c r="BJ59" s="56">
        <f t="shared" si="219"/>
        <v>0</v>
      </c>
      <c r="BK59" s="11">
        <f t="shared" si="220"/>
        <v>0</v>
      </c>
      <c r="BL59" s="34">
        <f t="shared" si="221"/>
        <v>0</v>
      </c>
      <c r="BM59" s="11">
        <f t="shared" si="222"/>
        <v>0</v>
      </c>
      <c r="BN59" s="11">
        <f t="shared" si="223"/>
        <v>0</v>
      </c>
      <c r="BO59" s="11">
        <f t="shared" si="224"/>
        <v>53.862526521228773</v>
      </c>
      <c r="BP59" s="11">
        <f t="shared" si="225"/>
        <v>0</v>
      </c>
      <c r="BQ59" s="54"/>
      <c r="BR59" s="56">
        <f t="shared" si="226"/>
        <v>0</v>
      </c>
      <c r="BS59" s="56">
        <f t="shared" si="227"/>
        <v>0</v>
      </c>
      <c r="BT59" s="56">
        <f t="shared" si="228"/>
        <v>0</v>
      </c>
      <c r="BU59" s="56">
        <f t="shared" si="229"/>
        <v>0</v>
      </c>
      <c r="BV59" s="56">
        <f t="shared" si="230"/>
        <v>0</v>
      </c>
      <c r="BW59" s="56">
        <f t="shared" si="231"/>
        <v>0</v>
      </c>
      <c r="BX59" s="56">
        <f t="shared" si="232"/>
        <v>0</v>
      </c>
      <c r="BY59" s="56">
        <f t="shared" si="195"/>
        <v>0</v>
      </c>
      <c r="BZ59" s="56">
        <f t="shared" si="233"/>
        <v>0</v>
      </c>
      <c r="CA59" s="56">
        <f t="shared" si="234"/>
        <v>0</v>
      </c>
      <c r="CB59" s="56">
        <f t="shared" si="235"/>
        <v>0</v>
      </c>
      <c r="CC59" s="56">
        <f t="shared" si="236"/>
        <v>0</v>
      </c>
      <c r="CD59" s="56">
        <f t="shared" si="237"/>
        <v>0</v>
      </c>
      <c r="CE59" s="56">
        <f t="shared" si="238"/>
        <v>0</v>
      </c>
      <c r="CF59" s="56">
        <f t="shared" si="239"/>
        <v>0</v>
      </c>
      <c r="CG59" s="56">
        <f t="shared" si="240"/>
        <v>0</v>
      </c>
      <c r="CH59" s="54"/>
      <c r="CI59" s="11"/>
      <c r="CJ59" s="12" t="e">
        <f t="shared" ca="1" si="241"/>
        <v>#NAME?</v>
      </c>
      <c r="CK59" s="16"/>
      <c r="CL59" s="60">
        <f t="shared" si="74"/>
        <v>64.641660698675764</v>
      </c>
      <c r="CM59" s="60">
        <f t="shared" si="75"/>
        <v>0</v>
      </c>
      <c r="CN59" s="60">
        <f t="shared" si="76"/>
        <v>35.358339301324236</v>
      </c>
      <c r="CO59" s="60">
        <f t="shared" si="77"/>
        <v>0</v>
      </c>
      <c r="CP59" s="60">
        <f t="shared" si="78"/>
        <v>0</v>
      </c>
      <c r="CQ59" s="60">
        <f t="shared" si="79"/>
        <v>0</v>
      </c>
      <c r="CR59" s="60">
        <f t="shared" si="80"/>
        <v>0</v>
      </c>
      <c r="CS59" s="60">
        <f t="shared" si="81"/>
        <v>0</v>
      </c>
      <c r="CT59" s="60">
        <f t="shared" si="82"/>
        <v>0</v>
      </c>
      <c r="CU59" s="60">
        <f t="shared" si="83"/>
        <v>0</v>
      </c>
      <c r="CV59" s="60">
        <f t="shared" si="84"/>
        <v>0</v>
      </c>
      <c r="CW59" s="60">
        <f t="shared" si="85"/>
        <v>0</v>
      </c>
      <c r="CX59" s="60">
        <f t="shared" si="86"/>
        <v>0</v>
      </c>
      <c r="CY59" s="60">
        <f t="shared" si="87"/>
        <v>0</v>
      </c>
      <c r="CZ59" s="60">
        <f t="shared" si="88"/>
        <v>0</v>
      </c>
      <c r="DA59" s="60">
        <f t="shared" si="89"/>
        <v>0</v>
      </c>
      <c r="DB59" s="60">
        <f t="shared" si="90"/>
        <v>0</v>
      </c>
      <c r="DC59" s="60">
        <f t="shared" si="91"/>
        <v>0</v>
      </c>
      <c r="DD59" s="60">
        <f t="shared" si="92"/>
        <v>0</v>
      </c>
      <c r="DE59" s="60">
        <f t="shared" si="93"/>
        <v>0</v>
      </c>
      <c r="DF59" s="54"/>
      <c r="DG59" s="21">
        <f t="shared" si="94"/>
        <v>0</v>
      </c>
      <c r="DH59" s="21">
        <f t="shared" si="95"/>
        <v>0</v>
      </c>
      <c r="DI59" s="21">
        <f t="shared" si="96"/>
        <v>0</v>
      </c>
      <c r="DJ59" s="21">
        <f t="shared" si="97"/>
        <v>0</v>
      </c>
      <c r="DK59" s="21">
        <f t="shared" si="98"/>
        <v>0</v>
      </c>
      <c r="DL59" s="21">
        <f t="shared" si="99"/>
        <v>0</v>
      </c>
      <c r="DM59" s="21">
        <f t="shared" si="100"/>
        <v>0</v>
      </c>
      <c r="DN59" s="21">
        <f t="shared" si="101"/>
        <v>0</v>
      </c>
      <c r="DO59" s="21">
        <f t="shared" si="102"/>
        <v>0</v>
      </c>
      <c r="DP59" s="21">
        <f t="shared" si="103"/>
        <v>0</v>
      </c>
      <c r="DQ59" s="21">
        <f t="shared" si="104"/>
        <v>0</v>
      </c>
      <c r="DR59" s="21">
        <f t="shared" si="105"/>
        <v>0</v>
      </c>
      <c r="DS59" s="21">
        <f t="shared" si="106"/>
        <v>0</v>
      </c>
      <c r="DT59" s="21">
        <f t="shared" si="107"/>
        <v>0</v>
      </c>
      <c r="DU59" s="21">
        <f t="shared" si="108"/>
        <v>0</v>
      </c>
      <c r="DV59" s="21">
        <f t="shared" si="109"/>
        <v>0</v>
      </c>
      <c r="DW59" s="16"/>
      <c r="DX59" s="60" t="e">
        <f t="shared" ca="1" si="205"/>
        <v>#NAME?</v>
      </c>
    </row>
    <row r="60" spans="1:128" s="19" customFormat="1" ht="16" customHeight="1">
      <c r="A60" s="18"/>
      <c r="B60" s="17" t="s">
        <v>426</v>
      </c>
      <c r="C60" s="16"/>
      <c r="D60" s="16"/>
      <c r="E60" s="16"/>
      <c r="F60" s="16"/>
      <c r="G60" s="16"/>
      <c r="H60" s="20">
        <v>22.6</v>
      </c>
      <c r="I60" s="20"/>
      <c r="J60" s="20">
        <v>10.27</v>
      </c>
      <c r="K60" s="20"/>
      <c r="L60" s="20"/>
      <c r="M60" s="20"/>
      <c r="N60" s="20"/>
      <c r="O60" s="20"/>
      <c r="P60" s="20"/>
      <c r="Q60" s="20"/>
      <c r="R60" s="20">
        <v>2.67</v>
      </c>
      <c r="S60" s="20">
        <v>3.4</v>
      </c>
      <c r="T60" s="20"/>
      <c r="U60" s="20"/>
      <c r="V60" s="20"/>
      <c r="W60" s="20"/>
      <c r="X60" s="20"/>
      <c r="Y60" s="20">
        <v>61.06</v>
      </c>
      <c r="Z60" s="20"/>
      <c r="AA60" s="20"/>
      <c r="AB60" s="55"/>
      <c r="AC60" s="20"/>
      <c r="AD60" s="20"/>
      <c r="AE60" s="20"/>
      <c r="AF60" s="20"/>
      <c r="AG60" s="20"/>
      <c r="AH60" s="20"/>
      <c r="AI60" s="20"/>
      <c r="AJ60" s="20"/>
      <c r="AK60" s="20"/>
      <c r="AL60" s="20"/>
      <c r="AM60" s="20"/>
      <c r="AN60" s="20"/>
      <c r="AO60" s="20"/>
      <c r="AP60" s="20"/>
      <c r="AQ60" s="20"/>
      <c r="AS60" s="55"/>
      <c r="AT60" s="20"/>
      <c r="AU60" s="20">
        <v>0</v>
      </c>
      <c r="AV60" s="20"/>
      <c r="AW60" s="11">
        <f t="shared" si="206"/>
        <v>30.605657599235432</v>
      </c>
      <c r="AX60" s="11">
        <f t="shared" si="207"/>
        <v>0</v>
      </c>
      <c r="AY60" s="11">
        <f t="shared" si="208"/>
        <v>13.361286533331397</v>
      </c>
      <c r="AZ60" s="11">
        <f t="shared" si="209"/>
        <v>0</v>
      </c>
      <c r="BA60" s="11">
        <f t="shared" si="210"/>
        <v>0</v>
      </c>
      <c r="BB60" s="11">
        <f t="shared" si="211"/>
        <v>0</v>
      </c>
      <c r="BC60" s="11">
        <f t="shared" si="212"/>
        <v>0</v>
      </c>
      <c r="BD60" s="11">
        <f t="shared" si="213"/>
        <v>0</v>
      </c>
      <c r="BE60" s="11">
        <f t="shared" si="214"/>
        <v>0</v>
      </c>
      <c r="BF60" s="11">
        <f t="shared" si="215"/>
        <v>0</v>
      </c>
      <c r="BG60" s="11">
        <f t="shared" si="216"/>
        <v>5.1597471341067109</v>
      </c>
      <c r="BH60" s="11">
        <f t="shared" si="217"/>
        <v>3.7689870110885457</v>
      </c>
      <c r="BI60" s="11">
        <f t="shared" si="218"/>
        <v>0</v>
      </c>
      <c r="BJ60" s="56">
        <f t="shared" si="219"/>
        <v>0</v>
      </c>
      <c r="BK60" s="11">
        <f t="shared" si="220"/>
        <v>0</v>
      </c>
      <c r="BL60" s="34">
        <f t="shared" si="221"/>
        <v>0</v>
      </c>
      <c r="BM60" s="11">
        <f t="shared" si="222"/>
        <v>0</v>
      </c>
      <c r="BN60" s="11">
        <f t="shared" si="223"/>
        <v>0</v>
      </c>
      <c r="BO60" s="11">
        <f t="shared" si="224"/>
        <v>47.10432172223792</v>
      </c>
      <c r="BP60" s="11">
        <f t="shared" si="225"/>
        <v>0</v>
      </c>
      <c r="BQ60" s="54"/>
      <c r="BR60" s="56">
        <f t="shared" si="226"/>
        <v>0</v>
      </c>
      <c r="BS60" s="56">
        <f t="shared" si="227"/>
        <v>0</v>
      </c>
      <c r="BT60" s="56">
        <f t="shared" si="228"/>
        <v>0</v>
      </c>
      <c r="BU60" s="56">
        <f t="shared" si="229"/>
        <v>0</v>
      </c>
      <c r="BV60" s="56">
        <f t="shared" si="230"/>
        <v>0</v>
      </c>
      <c r="BW60" s="56">
        <f t="shared" si="231"/>
        <v>0</v>
      </c>
      <c r="BX60" s="56">
        <f t="shared" si="232"/>
        <v>0</v>
      </c>
      <c r="BY60" s="56">
        <f t="shared" si="195"/>
        <v>0</v>
      </c>
      <c r="BZ60" s="56">
        <f t="shared" si="233"/>
        <v>0</v>
      </c>
      <c r="CA60" s="56">
        <f t="shared" si="234"/>
        <v>0</v>
      </c>
      <c r="CB60" s="56">
        <f t="shared" si="235"/>
        <v>0</v>
      </c>
      <c r="CC60" s="56">
        <f t="shared" si="236"/>
        <v>0</v>
      </c>
      <c r="CD60" s="56">
        <f t="shared" si="237"/>
        <v>0</v>
      </c>
      <c r="CE60" s="56">
        <f t="shared" si="238"/>
        <v>0</v>
      </c>
      <c r="CF60" s="56">
        <f t="shared" si="239"/>
        <v>0</v>
      </c>
      <c r="CG60" s="56">
        <f t="shared" si="240"/>
        <v>0</v>
      </c>
      <c r="CH60" s="54"/>
      <c r="CI60" s="11"/>
      <c r="CJ60" s="12" t="e">
        <f t="shared" ca="1" si="241"/>
        <v>#NAME?</v>
      </c>
      <c r="CK60" s="16"/>
      <c r="CL60" s="60">
        <f t="shared" si="74"/>
        <v>63.555418767529147</v>
      </c>
      <c r="CM60" s="60">
        <f t="shared" si="75"/>
        <v>0</v>
      </c>
      <c r="CN60" s="60">
        <f t="shared" si="76"/>
        <v>24.50528976389489</v>
      </c>
      <c r="CO60" s="60">
        <f t="shared" si="77"/>
        <v>0</v>
      </c>
      <c r="CP60" s="60">
        <f t="shared" si="78"/>
        <v>0</v>
      </c>
      <c r="CQ60" s="60">
        <f t="shared" si="79"/>
        <v>0</v>
      </c>
      <c r="CR60" s="60">
        <f t="shared" si="80"/>
        <v>0</v>
      </c>
      <c r="CS60" s="60">
        <f t="shared" si="81"/>
        <v>0</v>
      </c>
      <c r="CT60" s="60">
        <f t="shared" si="82"/>
        <v>0</v>
      </c>
      <c r="CU60" s="60">
        <f t="shared" si="83"/>
        <v>0</v>
      </c>
      <c r="CV60" s="60">
        <f t="shared" si="84"/>
        <v>0</v>
      </c>
      <c r="CW60" s="60">
        <f t="shared" si="85"/>
        <v>7.0077942301613811</v>
      </c>
      <c r="CX60" s="60">
        <f t="shared" si="86"/>
        <v>4.9314972384145745</v>
      </c>
      <c r="CY60" s="60">
        <f t="shared" si="87"/>
        <v>0</v>
      </c>
      <c r="CZ60" s="60">
        <f t="shared" si="88"/>
        <v>0</v>
      </c>
      <c r="DA60" s="60">
        <f t="shared" si="89"/>
        <v>0</v>
      </c>
      <c r="DB60" s="60">
        <f t="shared" si="90"/>
        <v>0</v>
      </c>
      <c r="DC60" s="60">
        <f t="shared" si="91"/>
        <v>0</v>
      </c>
      <c r="DD60" s="60">
        <f t="shared" si="92"/>
        <v>0</v>
      </c>
      <c r="DE60" s="60">
        <f t="shared" si="93"/>
        <v>0</v>
      </c>
      <c r="DF60" s="54"/>
      <c r="DG60" s="21">
        <f t="shared" si="94"/>
        <v>0</v>
      </c>
      <c r="DH60" s="21">
        <f t="shared" si="95"/>
        <v>0</v>
      </c>
      <c r="DI60" s="21">
        <f t="shared" si="96"/>
        <v>0</v>
      </c>
      <c r="DJ60" s="21">
        <f t="shared" si="97"/>
        <v>0</v>
      </c>
      <c r="DK60" s="21">
        <f t="shared" si="98"/>
        <v>0</v>
      </c>
      <c r="DL60" s="21">
        <f t="shared" si="99"/>
        <v>0</v>
      </c>
      <c r="DM60" s="21">
        <f t="shared" si="100"/>
        <v>0</v>
      </c>
      <c r="DN60" s="21">
        <f t="shared" si="101"/>
        <v>0</v>
      </c>
      <c r="DO60" s="21">
        <f t="shared" si="102"/>
        <v>0</v>
      </c>
      <c r="DP60" s="21">
        <f t="shared" si="103"/>
        <v>0</v>
      </c>
      <c r="DQ60" s="21">
        <f t="shared" si="104"/>
        <v>0</v>
      </c>
      <c r="DR60" s="21">
        <f t="shared" si="105"/>
        <v>0</v>
      </c>
      <c r="DS60" s="21">
        <f t="shared" si="106"/>
        <v>0</v>
      </c>
      <c r="DT60" s="21">
        <f t="shared" si="107"/>
        <v>0</v>
      </c>
      <c r="DU60" s="21">
        <f t="shared" si="108"/>
        <v>0</v>
      </c>
      <c r="DV60" s="21">
        <f t="shared" si="109"/>
        <v>0</v>
      </c>
      <c r="DW60" s="16"/>
      <c r="DX60" s="60" t="e">
        <f t="shared" ca="1" si="205"/>
        <v>#NAME?</v>
      </c>
    </row>
    <row r="61" spans="1:128" s="19" customFormat="1" ht="16" customHeight="1">
      <c r="A61" s="18"/>
      <c r="B61" s="17" t="s">
        <v>427</v>
      </c>
      <c r="C61" s="16"/>
      <c r="D61" s="16"/>
      <c r="E61" s="16"/>
      <c r="F61" s="16"/>
      <c r="G61" s="16"/>
      <c r="H61" s="20">
        <v>18.3</v>
      </c>
      <c r="I61" s="20">
        <v>0.25</v>
      </c>
      <c r="J61" s="20">
        <v>9.17</v>
      </c>
      <c r="K61" s="20"/>
      <c r="L61" s="20">
        <v>1.98</v>
      </c>
      <c r="M61" s="20"/>
      <c r="N61" s="20"/>
      <c r="O61" s="20">
        <v>1.94</v>
      </c>
      <c r="P61" s="20"/>
      <c r="Q61" s="20"/>
      <c r="R61" s="20">
        <v>5.55</v>
      </c>
      <c r="S61" s="20">
        <v>0.86</v>
      </c>
      <c r="T61" s="20">
        <v>1.39</v>
      </c>
      <c r="U61" s="20">
        <v>0.73</v>
      </c>
      <c r="V61" s="20"/>
      <c r="W61" s="20"/>
      <c r="X61" s="20"/>
      <c r="Y61" s="20">
        <v>59.58</v>
      </c>
      <c r="Z61" s="20"/>
      <c r="AA61" s="20"/>
      <c r="AB61" s="55"/>
      <c r="AC61" s="20"/>
      <c r="AD61" s="20"/>
      <c r="AE61" s="20"/>
      <c r="AF61" s="20"/>
      <c r="AG61" s="20"/>
      <c r="AH61" s="20">
        <v>0.25</v>
      </c>
      <c r="AI61" s="20"/>
      <c r="AJ61" s="20"/>
      <c r="AK61" s="20"/>
      <c r="AL61" s="20"/>
      <c r="AM61" s="20"/>
      <c r="AN61" s="20"/>
      <c r="AO61" s="20"/>
      <c r="AP61" s="20"/>
      <c r="AQ61" s="20"/>
      <c r="AS61" s="55"/>
      <c r="AT61" s="20"/>
      <c r="AU61" s="20">
        <v>0</v>
      </c>
      <c r="AV61" s="20"/>
      <c r="AW61" s="11">
        <f t="shared" si="206"/>
        <v>22.78960726297769</v>
      </c>
      <c r="AX61" s="11">
        <f t="shared" si="207"/>
        <v>0.5306153501300882</v>
      </c>
      <c r="AY61" s="11">
        <f t="shared" si="208"/>
        <v>10.970834024409584</v>
      </c>
      <c r="AZ61" s="11">
        <f t="shared" si="209"/>
        <v>0</v>
      </c>
      <c r="BA61" s="11">
        <f t="shared" si="210"/>
        <v>4.9029004676682684</v>
      </c>
      <c r="BB61" s="11">
        <f t="shared" si="211"/>
        <v>0</v>
      </c>
      <c r="BC61" s="11">
        <f t="shared" si="212"/>
        <v>0</v>
      </c>
      <c r="BD61" s="11">
        <f t="shared" si="213"/>
        <v>2.0907444213950219</v>
      </c>
      <c r="BE61" s="11">
        <f t="shared" si="214"/>
        <v>0</v>
      </c>
      <c r="BF61" s="11">
        <f t="shared" si="215"/>
        <v>0</v>
      </c>
      <c r="BG61" s="11">
        <f t="shared" si="216"/>
        <v>9.8628542514843964</v>
      </c>
      <c r="BH61" s="11">
        <f t="shared" si="217"/>
        <v>0.87667101940932735</v>
      </c>
      <c r="BI61" s="11">
        <f t="shared" si="218"/>
        <v>2.4097737330643496</v>
      </c>
      <c r="BJ61" s="56">
        <f t="shared" si="219"/>
        <v>1.0025831662721703</v>
      </c>
      <c r="BK61" s="11">
        <f t="shared" si="220"/>
        <v>0</v>
      </c>
      <c r="BL61" s="34">
        <f t="shared" si="221"/>
        <v>0</v>
      </c>
      <c r="BM61" s="11">
        <f t="shared" si="222"/>
        <v>0</v>
      </c>
      <c r="BN61" s="11">
        <f t="shared" si="223"/>
        <v>0</v>
      </c>
      <c r="BO61" s="11">
        <f t="shared" si="224"/>
        <v>42.266562509407294</v>
      </c>
      <c r="BP61" s="11">
        <f t="shared" si="225"/>
        <v>0</v>
      </c>
      <c r="BQ61" s="54"/>
      <c r="BR61" s="56">
        <f t="shared" si="226"/>
        <v>0</v>
      </c>
      <c r="BS61" s="56">
        <f t="shared" si="227"/>
        <v>0</v>
      </c>
      <c r="BT61" s="56">
        <f t="shared" si="228"/>
        <v>0</v>
      </c>
      <c r="BU61" s="56">
        <f t="shared" si="229"/>
        <v>0</v>
      </c>
      <c r="BV61" s="56">
        <f t="shared" si="230"/>
        <v>0</v>
      </c>
      <c r="BW61" s="56">
        <f t="shared" si="231"/>
        <v>2.2968537937818176</v>
      </c>
      <c r="BX61" s="56">
        <f t="shared" si="232"/>
        <v>0</v>
      </c>
      <c r="BY61" s="56">
        <f t="shared" si="195"/>
        <v>0</v>
      </c>
      <c r="BZ61" s="56">
        <f t="shared" si="233"/>
        <v>0</v>
      </c>
      <c r="CA61" s="56">
        <f t="shared" si="234"/>
        <v>0</v>
      </c>
      <c r="CB61" s="56">
        <f t="shared" si="235"/>
        <v>0</v>
      </c>
      <c r="CC61" s="56">
        <f t="shared" si="236"/>
        <v>0</v>
      </c>
      <c r="CD61" s="56">
        <f t="shared" si="237"/>
        <v>0</v>
      </c>
      <c r="CE61" s="56">
        <f t="shared" si="238"/>
        <v>0</v>
      </c>
      <c r="CF61" s="56">
        <f t="shared" si="239"/>
        <v>0</v>
      </c>
      <c r="CG61" s="56">
        <f t="shared" si="240"/>
        <v>0</v>
      </c>
      <c r="CH61" s="54"/>
      <c r="CI61" s="11"/>
      <c r="CJ61" s="12" t="e">
        <f t="shared" ca="1" si="241"/>
        <v>#NAME?</v>
      </c>
      <c r="CK61" s="16"/>
      <c r="CL61" s="60">
        <f t="shared" si="74"/>
        <v>47.426843689491584</v>
      </c>
      <c r="CM61" s="60">
        <f t="shared" si="75"/>
        <v>0.86122422645294161</v>
      </c>
      <c r="CN61" s="60">
        <f t="shared" si="76"/>
        <v>20.164512266806604</v>
      </c>
      <c r="CO61" s="60">
        <f t="shared" si="77"/>
        <v>0</v>
      </c>
      <c r="CP61" s="60">
        <f t="shared" si="78"/>
        <v>0</v>
      </c>
      <c r="CQ61" s="60">
        <f t="shared" si="79"/>
        <v>6.1357829756875049</v>
      </c>
      <c r="CR61" s="60">
        <f t="shared" si="80"/>
        <v>6.1357829756875049</v>
      </c>
      <c r="CS61" s="60">
        <f t="shared" si="81"/>
        <v>0</v>
      </c>
      <c r="CT61" s="60">
        <f t="shared" si="82"/>
        <v>3.372594875042755</v>
      </c>
      <c r="CU61" s="60">
        <f t="shared" si="83"/>
        <v>0</v>
      </c>
      <c r="CV61" s="60">
        <f t="shared" si="84"/>
        <v>0</v>
      </c>
      <c r="CW61" s="60">
        <f t="shared" si="85"/>
        <v>13.424312411025916</v>
      </c>
      <c r="CX61" s="60">
        <f t="shared" si="86"/>
        <v>1.1495485449362961</v>
      </c>
      <c r="CY61" s="60">
        <f t="shared" si="87"/>
        <v>2.8237845730748048</v>
      </c>
      <c r="CZ61" s="60">
        <f t="shared" si="88"/>
        <v>2.2346626021834894</v>
      </c>
      <c r="DA61" s="60">
        <f t="shared" si="89"/>
        <v>0</v>
      </c>
      <c r="DB61" s="60">
        <f t="shared" si="90"/>
        <v>0</v>
      </c>
      <c r="DC61" s="60">
        <f t="shared" si="91"/>
        <v>0</v>
      </c>
      <c r="DD61" s="60">
        <f t="shared" si="92"/>
        <v>0</v>
      </c>
      <c r="DE61" s="60">
        <f t="shared" si="93"/>
        <v>0</v>
      </c>
      <c r="DF61" s="54"/>
      <c r="DG61" s="21">
        <f t="shared" si="94"/>
        <v>0</v>
      </c>
      <c r="DH61" s="21">
        <f t="shared" si="95"/>
        <v>0</v>
      </c>
      <c r="DI61" s="21">
        <f t="shared" si="96"/>
        <v>0</v>
      </c>
      <c r="DJ61" s="21">
        <f t="shared" si="97"/>
        <v>0</v>
      </c>
      <c r="DK61" s="21">
        <f t="shared" si="98"/>
        <v>0</v>
      </c>
      <c r="DL61" s="21">
        <f t="shared" si="99"/>
        <v>2.4067338352981098</v>
      </c>
      <c r="DM61" s="21">
        <f t="shared" si="100"/>
        <v>0</v>
      </c>
      <c r="DN61" s="21">
        <f t="shared" si="101"/>
        <v>0</v>
      </c>
      <c r="DO61" s="21">
        <f t="shared" si="102"/>
        <v>0</v>
      </c>
      <c r="DP61" s="21">
        <f t="shared" si="103"/>
        <v>0</v>
      </c>
      <c r="DQ61" s="21">
        <f t="shared" si="104"/>
        <v>0</v>
      </c>
      <c r="DR61" s="21">
        <f t="shared" si="105"/>
        <v>0</v>
      </c>
      <c r="DS61" s="21">
        <f t="shared" si="106"/>
        <v>0</v>
      </c>
      <c r="DT61" s="21">
        <f t="shared" si="107"/>
        <v>0</v>
      </c>
      <c r="DU61" s="21">
        <f t="shared" si="108"/>
        <v>0</v>
      </c>
      <c r="DV61" s="21">
        <f t="shared" si="109"/>
        <v>0</v>
      </c>
      <c r="DW61" s="16"/>
      <c r="DX61" s="60" t="e">
        <f t="shared" ca="1" si="205"/>
        <v>#NAME?</v>
      </c>
    </row>
    <row r="62" spans="1:128" s="19" customFormat="1" ht="16" customHeight="1">
      <c r="A62" s="18"/>
      <c r="B62" s="17" t="s">
        <v>428</v>
      </c>
      <c r="C62" s="16"/>
      <c r="D62" s="16"/>
      <c r="E62" s="16"/>
      <c r="F62" s="16"/>
      <c r="G62" s="16"/>
      <c r="H62" s="20">
        <v>11.36</v>
      </c>
      <c r="I62" s="20"/>
      <c r="J62" s="20">
        <v>3.33</v>
      </c>
      <c r="K62" s="20"/>
      <c r="L62" s="20">
        <v>1.85</v>
      </c>
      <c r="M62" s="20"/>
      <c r="N62" s="20"/>
      <c r="O62" s="20">
        <v>1.2</v>
      </c>
      <c r="P62" s="20"/>
      <c r="Q62" s="20"/>
      <c r="R62" s="20">
        <v>12.8</v>
      </c>
      <c r="S62" s="20">
        <v>1.43</v>
      </c>
      <c r="T62" s="20">
        <v>1.07</v>
      </c>
      <c r="U62" s="20">
        <v>8.34</v>
      </c>
      <c r="V62" s="20"/>
      <c r="W62" s="20"/>
      <c r="X62" s="20"/>
      <c r="Y62" s="20">
        <v>58.62</v>
      </c>
      <c r="Z62" s="20"/>
      <c r="AA62" s="20"/>
      <c r="AB62" s="55"/>
      <c r="AC62" s="20"/>
      <c r="AD62" s="20"/>
      <c r="AE62" s="20"/>
      <c r="AF62" s="20"/>
      <c r="AG62" s="20"/>
      <c r="AH62" s="20"/>
      <c r="AI62" s="20"/>
      <c r="AJ62" s="20"/>
      <c r="AK62" s="20"/>
      <c r="AL62" s="20"/>
      <c r="AM62" s="20"/>
      <c r="AN62" s="20"/>
      <c r="AO62" s="20"/>
      <c r="AP62" s="20"/>
      <c r="AQ62" s="20"/>
      <c r="AS62" s="55"/>
      <c r="AT62" s="20"/>
      <c r="AU62" s="20">
        <v>0</v>
      </c>
      <c r="AV62" s="20"/>
      <c r="AW62" s="11">
        <f t="shared" si="206"/>
        <v>13.721038979435132</v>
      </c>
      <c r="AX62" s="11">
        <f t="shared" si="207"/>
        <v>0</v>
      </c>
      <c r="AY62" s="11">
        <f t="shared" si="208"/>
        <v>3.8640030279333684</v>
      </c>
      <c r="AZ62" s="11">
        <f t="shared" si="209"/>
        <v>0</v>
      </c>
      <c r="BA62" s="11">
        <f t="shared" si="210"/>
        <v>4.4430636051424921</v>
      </c>
      <c r="BB62" s="11">
        <f t="shared" si="211"/>
        <v>0</v>
      </c>
      <c r="BC62" s="11">
        <f t="shared" si="212"/>
        <v>0</v>
      </c>
      <c r="BD62" s="11">
        <f t="shared" si="213"/>
        <v>1.2543056491552236</v>
      </c>
      <c r="BE62" s="11">
        <f t="shared" si="214"/>
        <v>0</v>
      </c>
      <c r="BF62" s="11">
        <f t="shared" si="215"/>
        <v>0</v>
      </c>
      <c r="BG62" s="11">
        <f t="shared" si="216"/>
        <v>22.061879967345238</v>
      </c>
      <c r="BH62" s="11">
        <f t="shared" si="217"/>
        <v>1.413829866802006</v>
      </c>
      <c r="BI62" s="11">
        <f t="shared" si="218"/>
        <v>1.7991532559052077</v>
      </c>
      <c r="BJ62" s="56">
        <f t="shared" si="219"/>
        <v>11.109295385011988</v>
      </c>
      <c r="BK62" s="11">
        <f t="shared" si="220"/>
        <v>0</v>
      </c>
      <c r="BL62" s="34">
        <f t="shared" si="221"/>
        <v>0</v>
      </c>
      <c r="BM62" s="11">
        <f t="shared" si="222"/>
        <v>0</v>
      </c>
      <c r="BN62" s="11">
        <f t="shared" si="223"/>
        <v>0</v>
      </c>
      <c r="BO62" s="11">
        <f t="shared" si="224"/>
        <v>40.333430263269349</v>
      </c>
      <c r="BP62" s="11">
        <f t="shared" si="225"/>
        <v>0</v>
      </c>
      <c r="BQ62" s="54"/>
      <c r="BR62" s="56">
        <f t="shared" si="226"/>
        <v>0</v>
      </c>
      <c r="BS62" s="56">
        <f t="shared" si="227"/>
        <v>0</v>
      </c>
      <c r="BT62" s="56">
        <f t="shared" si="228"/>
        <v>0</v>
      </c>
      <c r="BU62" s="56">
        <f t="shared" si="229"/>
        <v>0</v>
      </c>
      <c r="BV62" s="56">
        <f t="shared" si="230"/>
        <v>0</v>
      </c>
      <c r="BW62" s="56">
        <f t="shared" si="231"/>
        <v>0</v>
      </c>
      <c r="BX62" s="56">
        <f t="shared" si="232"/>
        <v>0</v>
      </c>
      <c r="BY62" s="56">
        <f t="shared" si="195"/>
        <v>0</v>
      </c>
      <c r="BZ62" s="56">
        <f t="shared" si="233"/>
        <v>0</v>
      </c>
      <c r="CA62" s="56">
        <f t="shared" si="234"/>
        <v>0</v>
      </c>
      <c r="CB62" s="56">
        <f t="shared" si="235"/>
        <v>0</v>
      </c>
      <c r="CC62" s="56">
        <f t="shared" si="236"/>
        <v>0</v>
      </c>
      <c r="CD62" s="56">
        <f t="shared" si="237"/>
        <v>0</v>
      </c>
      <c r="CE62" s="56">
        <f t="shared" si="238"/>
        <v>0</v>
      </c>
      <c r="CF62" s="56">
        <f t="shared" si="239"/>
        <v>0</v>
      </c>
      <c r="CG62" s="56">
        <f t="shared" si="240"/>
        <v>0</v>
      </c>
      <c r="CH62" s="54"/>
      <c r="CI62" s="11"/>
      <c r="CJ62" s="12" t="e">
        <f t="shared" ca="1" si="241"/>
        <v>#NAME?</v>
      </c>
      <c r="CK62" s="16"/>
      <c r="CL62" s="60">
        <f t="shared" si="74"/>
        <v>27.996703419417894</v>
      </c>
      <c r="CM62" s="60">
        <f t="shared" si="75"/>
        <v>0</v>
      </c>
      <c r="CN62" s="60">
        <f t="shared" si="76"/>
        <v>6.9633472290542082</v>
      </c>
      <c r="CO62" s="60">
        <f t="shared" si="77"/>
        <v>0</v>
      </c>
      <c r="CP62" s="60">
        <f t="shared" si="78"/>
        <v>0</v>
      </c>
      <c r="CQ62" s="60">
        <f t="shared" si="79"/>
        <v>5.4517001416028403</v>
      </c>
      <c r="CR62" s="60">
        <f t="shared" si="80"/>
        <v>5.4517001416028403</v>
      </c>
      <c r="CS62" s="60">
        <f t="shared" si="81"/>
        <v>0</v>
      </c>
      <c r="CT62" s="60">
        <f t="shared" si="82"/>
        <v>1.9838056555614725</v>
      </c>
      <c r="CU62" s="60">
        <f t="shared" si="83"/>
        <v>0</v>
      </c>
      <c r="CV62" s="60">
        <f t="shared" si="84"/>
        <v>0</v>
      </c>
      <c r="CW62" s="60">
        <f t="shared" si="85"/>
        <v>29.441807528627944</v>
      </c>
      <c r="CX62" s="60">
        <f t="shared" si="86"/>
        <v>1.8176921618433615</v>
      </c>
      <c r="CY62" s="60">
        <f t="shared" si="87"/>
        <v>2.0670737453525834</v>
      </c>
      <c r="CZ62" s="60">
        <f t="shared" si="88"/>
        <v>24.277870118539695</v>
      </c>
      <c r="DA62" s="60">
        <f t="shared" si="89"/>
        <v>0</v>
      </c>
      <c r="DB62" s="60">
        <f t="shared" si="90"/>
        <v>0</v>
      </c>
      <c r="DC62" s="60">
        <f t="shared" si="91"/>
        <v>0</v>
      </c>
      <c r="DD62" s="60">
        <f t="shared" si="92"/>
        <v>0</v>
      </c>
      <c r="DE62" s="60">
        <f t="shared" si="93"/>
        <v>0</v>
      </c>
      <c r="DF62" s="54"/>
      <c r="DG62" s="21">
        <f t="shared" si="94"/>
        <v>0</v>
      </c>
      <c r="DH62" s="21">
        <f t="shared" si="95"/>
        <v>0</v>
      </c>
      <c r="DI62" s="21">
        <f t="shared" si="96"/>
        <v>0</v>
      </c>
      <c r="DJ62" s="21">
        <f t="shared" si="97"/>
        <v>0</v>
      </c>
      <c r="DK62" s="21">
        <f t="shared" si="98"/>
        <v>0</v>
      </c>
      <c r="DL62" s="21">
        <f t="shared" si="99"/>
        <v>0</v>
      </c>
      <c r="DM62" s="21">
        <f t="shared" si="100"/>
        <v>0</v>
      </c>
      <c r="DN62" s="21">
        <f t="shared" si="101"/>
        <v>0</v>
      </c>
      <c r="DO62" s="21">
        <f t="shared" si="102"/>
        <v>0</v>
      </c>
      <c r="DP62" s="21">
        <f t="shared" si="103"/>
        <v>0</v>
      </c>
      <c r="DQ62" s="21">
        <f t="shared" si="104"/>
        <v>0</v>
      </c>
      <c r="DR62" s="21">
        <f t="shared" si="105"/>
        <v>0</v>
      </c>
      <c r="DS62" s="21">
        <f t="shared" si="106"/>
        <v>0</v>
      </c>
      <c r="DT62" s="21">
        <f t="shared" si="107"/>
        <v>0</v>
      </c>
      <c r="DU62" s="21">
        <f t="shared" si="108"/>
        <v>0</v>
      </c>
      <c r="DV62" s="21">
        <f t="shared" si="109"/>
        <v>0</v>
      </c>
      <c r="DW62" s="16"/>
      <c r="DX62" s="60" t="e">
        <f t="shared" ca="1" si="205"/>
        <v>#NAME?</v>
      </c>
    </row>
    <row r="63" spans="1:128" s="19" customFormat="1" ht="16" customHeight="1">
      <c r="A63" s="18"/>
      <c r="B63" s="17" t="s">
        <v>429</v>
      </c>
      <c r="C63" s="16"/>
      <c r="D63" s="16"/>
      <c r="E63" s="16"/>
      <c r="F63" s="16"/>
      <c r="G63" s="16"/>
      <c r="H63" s="20">
        <v>11.09</v>
      </c>
      <c r="I63" s="20"/>
      <c r="J63" s="20">
        <v>4.09</v>
      </c>
      <c r="K63" s="20"/>
      <c r="L63" s="20">
        <v>1.86</v>
      </c>
      <c r="M63" s="20"/>
      <c r="N63" s="20"/>
      <c r="O63" s="20">
        <v>1.86</v>
      </c>
      <c r="P63" s="20"/>
      <c r="Q63" s="20"/>
      <c r="R63" s="20">
        <v>14.52</v>
      </c>
      <c r="S63" s="20"/>
      <c r="T63" s="20">
        <v>1.5</v>
      </c>
      <c r="U63" s="20">
        <v>8.2200000000000006</v>
      </c>
      <c r="V63" s="20"/>
      <c r="W63" s="20"/>
      <c r="X63" s="20"/>
      <c r="Y63" s="20">
        <v>56.86</v>
      </c>
      <c r="Z63" s="20"/>
      <c r="AA63" s="20"/>
      <c r="AB63" s="55"/>
      <c r="AC63" s="20"/>
      <c r="AD63" s="20"/>
      <c r="AE63" s="20"/>
      <c r="AF63" s="20"/>
      <c r="AG63" s="20"/>
      <c r="AH63" s="20"/>
      <c r="AI63" s="20"/>
      <c r="AJ63" s="20"/>
      <c r="AK63" s="20"/>
      <c r="AL63" s="20"/>
      <c r="AM63" s="20"/>
      <c r="AN63" s="20"/>
      <c r="AO63" s="20"/>
      <c r="AP63" s="20"/>
      <c r="AQ63" s="20"/>
      <c r="AS63" s="55"/>
      <c r="AT63" s="20"/>
      <c r="AU63" s="20">
        <v>0</v>
      </c>
      <c r="AV63" s="20"/>
      <c r="AW63" s="11">
        <f t="shared" si="206"/>
        <v>13.11009410393269</v>
      </c>
      <c r="AX63" s="11">
        <f t="shared" si="207"/>
        <v>0</v>
      </c>
      <c r="AY63" s="11">
        <f t="shared" si="208"/>
        <v>4.6449616077751488</v>
      </c>
      <c r="AZ63" s="11">
        <f t="shared" si="209"/>
        <v>0</v>
      </c>
      <c r="BA63" s="11">
        <f t="shared" si="210"/>
        <v>4.3720925076650774</v>
      </c>
      <c r="BB63" s="11">
        <f t="shared" si="211"/>
        <v>0</v>
      </c>
      <c r="BC63" s="11">
        <f t="shared" si="212"/>
        <v>0</v>
      </c>
      <c r="BD63" s="11">
        <f t="shared" si="213"/>
        <v>1.9028329912937545</v>
      </c>
      <c r="BE63" s="11">
        <f t="shared" si="214"/>
        <v>0</v>
      </c>
      <c r="BF63" s="11">
        <f t="shared" si="215"/>
        <v>0</v>
      </c>
      <c r="BG63" s="11">
        <f t="shared" si="216"/>
        <v>24.494284637127905</v>
      </c>
      <c r="BH63" s="11">
        <f t="shared" si="217"/>
        <v>0</v>
      </c>
      <c r="BI63" s="11">
        <f t="shared" si="218"/>
        <v>2.4685460692244594</v>
      </c>
      <c r="BJ63" s="56">
        <f t="shared" si="219"/>
        <v>10.716621137476123</v>
      </c>
      <c r="BK63" s="11">
        <f t="shared" si="220"/>
        <v>0</v>
      </c>
      <c r="BL63" s="34">
        <f t="shared" si="221"/>
        <v>0</v>
      </c>
      <c r="BM63" s="11">
        <f t="shared" si="222"/>
        <v>0</v>
      </c>
      <c r="BN63" s="11">
        <f t="shared" si="223"/>
        <v>0</v>
      </c>
      <c r="BO63" s="11">
        <f t="shared" si="224"/>
        <v>38.290566945504843</v>
      </c>
      <c r="BP63" s="11">
        <f t="shared" si="225"/>
        <v>0</v>
      </c>
      <c r="BQ63" s="54"/>
      <c r="BR63" s="56">
        <f t="shared" si="226"/>
        <v>0</v>
      </c>
      <c r="BS63" s="56">
        <f t="shared" si="227"/>
        <v>0</v>
      </c>
      <c r="BT63" s="56">
        <f t="shared" si="228"/>
        <v>0</v>
      </c>
      <c r="BU63" s="56">
        <f t="shared" si="229"/>
        <v>0</v>
      </c>
      <c r="BV63" s="56">
        <f t="shared" si="230"/>
        <v>0</v>
      </c>
      <c r="BW63" s="56">
        <f t="shared" si="231"/>
        <v>0</v>
      </c>
      <c r="BX63" s="56">
        <f t="shared" si="232"/>
        <v>0</v>
      </c>
      <c r="BY63" s="56">
        <f t="shared" si="195"/>
        <v>0</v>
      </c>
      <c r="BZ63" s="56">
        <f t="shared" si="233"/>
        <v>0</v>
      </c>
      <c r="CA63" s="56">
        <f t="shared" si="234"/>
        <v>0</v>
      </c>
      <c r="CB63" s="56">
        <f t="shared" si="235"/>
        <v>0</v>
      </c>
      <c r="CC63" s="56">
        <f t="shared" si="236"/>
        <v>0</v>
      </c>
      <c r="CD63" s="56">
        <f t="shared" si="237"/>
        <v>0</v>
      </c>
      <c r="CE63" s="56">
        <f t="shared" si="238"/>
        <v>0</v>
      </c>
      <c r="CF63" s="56">
        <f t="shared" si="239"/>
        <v>0</v>
      </c>
      <c r="CG63" s="56">
        <f t="shared" si="240"/>
        <v>0</v>
      </c>
      <c r="CH63" s="54"/>
      <c r="CI63" s="11"/>
      <c r="CJ63" s="12" t="e">
        <f t="shared" ca="1" si="241"/>
        <v>#NAME?</v>
      </c>
      <c r="CK63" s="16"/>
      <c r="CL63" s="60">
        <f t="shared" si="74"/>
        <v>26.113286380435223</v>
      </c>
      <c r="CM63" s="60">
        <f t="shared" si="75"/>
        <v>0</v>
      </c>
      <c r="CN63" s="60">
        <f t="shared" si="76"/>
        <v>8.1714390669709704</v>
      </c>
      <c r="CO63" s="60">
        <f t="shared" si="77"/>
        <v>0</v>
      </c>
      <c r="CP63" s="60">
        <f t="shared" si="78"/>
        <v>0</v>
      </c>
      <c r="CQ63" s="60">
        <f t="shared" si="79"/>
        <v>5.2369038034034254</v>
      </c>
      <c r="CR63" s="60">
        <f t="shared" si="80"/>
        <v>5.2369038034034254</v>
      </c>
      <c r="CS63" s="60">
        <f t="shared" si="81"/>
        <v>0</v>
      </c>
      <c r="CT63" s="60">
        <f t="shared" si="82"/>
        <v>2.9378677536380442</v>
      </c>
      <c r="CU63" s="60">
        <f t="shared" si="83"/>
        <v>0</v>
      </c>
      <c r="CV63" s="60">
        <f t="shared" si="84"/>
        <v>0</v>
      </c>
      <c r="CW63" s="60">
        <f t="shared" si="85"/>
        <v>31.909686403513994</v>
      </c>
      <c r="CX63" s="60">
        <f t="shared" si="86"/>
        <v>0</v>
      </c>
      <c r="CY63" s="60">
        <f t="shared" si="87"/>
        <v>2.7686296937797854</v>
      </c>
      <c r="CZ63" s="60">
        <f t="shared" si="88"/>
        <v>22.862186898258564</v>
      </c>
      <c r="DA63" s="60">
        <f t="shared" si="89"/>
        <v>0</v>
      </c>
      <c r="DB63" s="60">
        <f t="shared" si="90"/>
        <v>0</v>
      </c>
      <c r="DC63" s="60">
        <f t="shared" si="91"/>
        <v>0</v>
      </c>
      <c r="DD63" s="60">
        <f t="shared" si="92"/>
        <v>0</v>
      </c>
      <c r="DE63" s="60">
        <f t="shared" si="93"/>
        <v>0</v>
      </c>
      <c r="DF63" s="54"/>
      <c r="DG63" s="21">
        <f t="shared" si="94"/>
        <v>0</v>
      </c>
      <c r="DH63" s="21">
        <f t="shared" si="95"/>
        <v>0</v>
      </c>
      <c r="DI63" s="21">
        <f t="shared" si="96"/>
        <v>0</v>
      </c>
      <c r="DJ63" s="21">
        <f t="shared" si="97"/>
        <v>0</v>
      </c>
      <c r="DK63" s="21">
        <f t="shared" si="98"/>
        <v>0</v>
      </c>
      <c r="DL63" s="21">
        <f t="shared" si="99"/>
        <v>0</v>
      </c>
      <c r="DM63" s="21">
        <f t="shared" si="100"/>
        <v>0</v>
      </c>
      <c r="DN63" s="21">
        <f t="shared" si="101"/>
        <v>0</v>
      </c>
      <c r="DO63" s="21">
        <f t="shared" si="102"/>
        <v>0</v>
      </c>
      <c r="DP63" s="21">
        <f t="shared" si="103"/>
        <v>0</v>
      </c>
      <c r="DQ63" s="21">
        <f t="shared" si="104"/>
        <v>0</v>
      </c>
      <c r="DR63" s="21">
        <f t="shared" si="105"/>
        <v>0</v>
      </c>
      <c r="DS63" s="21">
        <f t="shared" si="106"/>
        <v>0</v>
      </c>
      <c r="DT63" s="21">
        <f t="shared" si="107"/>
        <v>0</v>
      </c>
      <c r="DU63" s="21">
        <f t="shared" si="108"/>
        <v>0</v>
      </c>
      <c r="DV63" s="21">
        <f t="shared" si="109"/>
        <v>0</v>
      </c>
      <c r="DW63" s="16"/>
      <c r="DX63" s="60" t="e">
        <f t="shared" ca="1" si="205"/>
        <v>#NAME?</v>
      </c>
    </row>
    <row r="64" spans="1:128" s="19" customFormat="1" ht="16" customHeight="1">
      <c r="A64" s="18"/>
      <c r="B64" s="17"/>
      <c r="C64" s="16"/>
      <c r="D64" s="16"/>
      <c r="E64" s="16"/>
      <c r="F64" s="16"/>
      <c r="G64" s="16"/>
      <c r="H64" s="20"/>
      <c r="I64" s="20"/>
      <c r="J64" s="20"/>
      <c r="K64" s="20"/>
      <c r="L64" s="20"/>
      <c r="M64" s="20"/>
      <c r="N64" s="20"/>
      <c r="O64" s="20"/>
      <c r="P64" s="20"/>
      <c r="Q64" s="20"/>
      <c r="R64" s="20"/>
      <c r="S64" s="20"/>
      <c r="T64"/>
      <c r="U64"/>
      <c r="V64"/>
      <c r="W64"/>
      <c r="X64"/>
      <c r="Y64"/>
      <c r="Z64" s="16"/>
      <c r="AA64" s="16"/>
      <c r="AB64" s="55"/>
      <c r="AC64"/>
      <c r="AD64"/>
      <c r="AE64"/>
      <c r="AF64"/>
      <c r="AG64"/>
      <c r="AH64"/>
      <c r="AI64"/>
      <c r="AJ64"/>
      <c r="AK64"/>
      <c r="AL64"/>
      <c r="AM64"/>
      <c r="AN64"/>
      <c r="AO64"/>
      <c r="AP64"/>
      <c r="AQ64"/>
      <c r="AS64" s="55"/>
      <c r="AT64"/>
      <c r="AU64" s="41"/>
      <c r="AV64" s="16"/>
      <c r="AW64" s="16"/>
      <c r="AX64" s="16"/>
      <c r="AY64" s="16"/>
      <c r="AZ64" s="16"/>
      <c r="BA64" s="16"/>
      <c r="BB64" s="16"/>
      <c r="BC64" s="16"/>
      <c r="BD64" s="16"/>
      <c r="BE64" s="16"/>
      <c r="BF64" s="16"/>
      <c r="BG64" s="16"/>
      <c r="BH64" s="16"/>
      <c r="BI64"/>
      <c r="BJ64"/>
      <c r="BK64"/>
      <c r="BL64"/>
      <c r="BM64"/>
      <c r="BN64"/>
      <c r="BO64"/>
      <c r="BP64"/>
      <c r="BQ64" s="55"/>
      <c r="BR64"/>
      <c r="BS64"/>
      <c r="BT64"/>
      <c r="BU64"/>
      <c r="BV64"/>
      <c r="BW64"/>
      <c r="BX64"/>
      <c r="BY64"/>
      <c r="BZ64"/>
      <c r="CA64"/>
      <c r="CB64"/>
      <c r="CC64"/>
      <c r="CD64"/>
      <c r="CE64"/>
      <c r="CF64"/>
      <c r="CH64" s="55"/>
      <c r="CI64"/>
      <c r="CJ64" s="16"/>
      <c r="CK64" s="16"/>
      <c r="CL64" s="60"/>
      <c r="CM64" s="60"/>
      <c r="CN64" s="60"/>
      <c r="CO64" s="60"/>
      <c r="CP64" s="60"/>
      <c r="CQ64" s="60"/>
      <c r="CR64" s="60"/>
      <c r="CS64" s="60"/>
      <c r="CT64" s="60"/>
      <c r="CU64" s="60"/>
      <c r="CV64" s="60"/>
      <c r="CW64" s="60"/>
      <c r="CX64" s="60"/>
      <c r="CY64" s="60"/>
      <c r="CZ64" s="60"/>
      <c r="DA64" s="60"/>
      <c r="DB64" s="60"/>
      <c r="DC64" s="60"/>
      <c r="DD64" s="60"/>
      <c r="DE64" s="60"/>
      <c r="DF64" s="54"/>
      <c r="DG64" s="21"/>
      <c r="DH64" s="21"/>
      <c r="DI64" s="21"/>
      <c r="DJ64" s="21"/>
      <c r="DK64" s="21"/>
      <c r="DL64" s="21"/>
      <c r="DM64" s="21"/>
      <c r="DN64" s="21"/>
      <c r="DO64" s="21"/>
      <c r="DP64" s="21"/>
      <c r="DQ64" s="21"/>
      <c r="DR64" s="21"/>
      <c r="DS64" s="21"/>
      <c r="DT64" s="21"/>
      <c r="DU64" s="21"/>
      <c r="DV64" s="21"/>
      <c r="DX64" s="28"/>
    </row>
    <row r="65" spans="1:128" s="19" customFormat="1" ht="16" customHeight="1">
      <c r="A65" s="18"/>
      <c r="B65" s="17" t="s">
        <v>430</v>
      </c>
      <c r="C65" s="16"/>
      <c r="D65" s="16"/>
      <c r="E65" s="16"/>
      <c r="F65" s="16"/>
      <c r="G65" s="16"/>
      <c r="H65" s="20"/>
      <c r="I65" s="20"/>
      <c r="J65" s="20">
        <v>1</v>
      </c>
      <c r="K65" s="20"/>
      <c r="L65" s="20"/>
      <c r="M65" s="20"/>
      <c r="N65" s="20"/>
      <c r="O65" s="20"/>
      <c r="P65" s="20"/>
      <c r="Q65" s="20"/>
      <c r="R65" s="20"/>
      <c r="S65" s="20"/>
      <c r="T65" s="20"/>
      <c r="U65" s="20">
        <v>1</v>
      </c>
      <c r="V65" s="20"/>
      <c r="W65" s="20"/>
      <c r="X65" s="20"/>
      <c r="Y65" s="20">
        <v>4</v>
      </c>
      <c r="Z65" s="20"/>
      <c r="AA65" s="20"/>
      <c r="AB65" s="55"/>
      <c r="AC65" s="20"/>
      <c r="AD65" s="20"/>
      <c r="AE65" s="20"/>
      <c r="AF65" s="20"/>
      <c r="AG65" s="20"/>
      <c r="AH65" s="20"/>
      <c r="AI65" s="20"/>
      <c r="AJ65" s="20"/>
      <c r="AK65" s="20"/>
      <c r="AL65" s="20"/>
      <c r="AM65" s="20"/>
      <c r="AN65" s="20"/>
      <c r="AO65" s="20"/>
      <c r="AP65" s="20"/>
      <c r="AQ65" s="20"/>
      <c r="AS65" s="55"/>
      <c r="AT65" s="20"/>
      <c r="AU65" s="20">
        <v>0</v>
      </c>
      <c r="AV65" s="20"/>
      <c r="AW65" s="11">
        <f>28.0855*H65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AX65" s="11">
        <f>I65*47.867*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AY65" s="11">
        <f>J65*26.981539*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22.124847196177104</v>
      </c>
      <c r="AZ65" s="11">
        <f>K65*51.9961*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A65" s="11">
        <f>L65*55.845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B65" s="11">
        <f>M66*55.845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C65" s="11">
        <f>N65*54.938044*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D65" s="11">
        <f>O65*24.305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E65" s="11">
        <f>P65*58.6934*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F65" s="11">
        <f>Q65*65.38*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G65" s="11">
        <f>R65*40.078*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H65" s="11">
        <f>S65*22.989769*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I65" s="11">
        <f>T65*39.0983*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J65" s="56">
        <f>U65*30.973762*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25.398467868743772</v>
      </c>
      <c r="BK65" s="11">
        <f>V65*32.065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L65" s="34">
        <f>W65*18.9984*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M65" s="11">
        <f>X65*35.453*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N65" s="11">
        <f>AA65*12.011*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O65" s="11">
        <f>Y65*15.999*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52.476684935079128</v>
      </c>
      <c r="BP65" s="11">
        <f>Z65*1.00784*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Q65" s="54"/>
      <c r="BR65" s="56">
        <f>AC65*58.933195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S65" s="56">
        <f>AD65*63.546*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T65" s="56">
        <f>AE65*9.012182*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U65" s="56">
        <f>AF65*137.327*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V65" s="56">
        <f>AG65*87.62*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W65" s="56">
        <f>AH65*207.2*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X65" s="56">
        <f>AI65*50.9415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Y65" s="56">
        <f t="shared" ref="BY65" si="242">AJ65*118.71*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BZ65" s="56">
        <f>AK65*91.224*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CA65" s="56">
        <f>AL65*88.90585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CB65" s="56">
        <f>AM65*95.95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CC65" s="56">
        <f>AN65*183.84*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CD65" s="56">
        <f>AO65*74.9216*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CE65" s="56">
        <f>AP65*78.96*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CF65" s="56">
        <f>AQ65*121.75*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CG65" s="56">
        <f>AR65*127.6*100/(H65*28.0855+I65*47.867+J65*26.981539+K65*51.9961+L65*55.845+M65*55.845+N65*54.938044+O65*24.305+P65*58.6934+Q65*65.38+R65*40.078+S65*22.989769+T65*39.0983+U65*30.973762+AC65*58.933195+AD65*63.546+AE65*9.012182+AF65*137.327+AG65*87.62+AH65*207.2+AI65*50.9415+AJ65*118.71+AK65*91.224+AL65*88.90585+AM65*95.95+AN65*183.84+AO65*74.9216+W65*18.9984+X65*35.453+Y65*15.999+V65*32.065+Z65*1.00784+AA65*12.011+AP65*78.96+AQ65*121.75+AR65*127.6)</f>
        <v>0</v>
      </c>
      <c r="CH65" s="54"/>
      <c r="CI65" s="11"/>
      <c r="CJ65" s="12" t="e">
        <f ca="1">SUMA(AW65:CG65)</f>
        <v>#NAME?</v>
      </c>
      <c r="CK65" s="16"/>
      <c r="CL65" s="60">
        <f>H65*60.084/(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M65" s="60">
        <f>I65*79.866/(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N65" s="60">
        <f>J65/2*101.961/(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41.804256645114201</v>
      </c>
      <c r="CO65" s="60">
        <f>K65/2*151.99/(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P65" s="60">
        <f>M65/2*159.69/(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Q65" s="60">
        <f>L65*71.844/(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R65" s="60">
        <f t="shared" ref="CR65" si="243">CP65*1/((159.69/71.844)/2)+CQ65</f>
        <v>0</v>
      </c>
      <c r="CS65" s="60">
        <f>N65*70.937/(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T65" s="60">
        <f>O65*40.304/(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U65" s="60">
        <f>P65*74.693/(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V65" s="60">
        <f>Q65*81.38/(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W65" s="60">
        <f>R65*56.077/(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X65" s="60">
        <f>S65/2*61.979/(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Y65" s="60">
        <f>T65/2*94.196/(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CZ65" s="60">
        <f>U65/2*141.94/(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58.195743354885785</v>
      </c>
      <c r="DA65" s="60">
        <f>V65*80.06/(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B65" s="60">
        <f>W65*37.9968/2/(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C65" s="60">
        <f>X65*70.906/2/(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D65" s="60">
        <f>Z65/2*18.015/(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E65" s="60">
        <f>AA65*44.01/(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F65" s="54"/>
      <c r="DG65" s="21">
        <f>AC65*74.9327/(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H65" s="21">
        <f>AD65*79.545/(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I65" s="21">
        <f>AE65*25.0117/(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J65" s="21">
        <f>AF65*153.3395/(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K65" s="21">
        <f>AG65*103.6195/(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L65" s="21">
        <f>AH65*223.1895/(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M65" s="21">
        <f>AI65*181.8815/2/(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N65" s="21">
        <f>AJ65*150.689/(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O65" s="21">
        <f>AK65*123.22/(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P65" s="21">
        <f>AL65*225.8085/2/(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Q65" s="21">
        <f>AM65*143.9385/(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R65" s="21">
        <f>AN65*231.8485/(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S65" s="21">
        <f>AO65*229.8407/2/(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T65" s="21">
        <f>AP65*110.959/(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U65" s="21">
        <f>AQ65*323.4975/2/(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V65" s="21">
        <f>AR65*159.599/(H65*60.084+I65*79.866+J65/2*101.961+K65/2*151.99+L65*71.844+M65/2*159.69+N65*70.937+O65*40.304+P65*74.693+Q65*81.38+R65*56.077+S65/2*61.979+T65/2*94.196+U65/2*141.94+V65*80.06+W65*37.9968/2+X65*70.906/2+Z65/2*18.015+AA65*44.01+AC65*74.9327+AD65*79.545+AE65*25.0117+AF65*153.3395+AG65*103.6195+AH65*223.1895+AI65*181.8815/2+AJ65*150.689+AK65*123.22+AL65*225.8085/2+AM65*143.9385+AN65*231.8485+AO65*229.8407/2+AP65*110.959+AQ65*323.4975/2+AR65*159.599)*100</f>
        <v>0</v>
      </c>
      <c r="DW65" s="16"/>
      <c r="DX65" s="60" t="e">
        <f t="shared" ref="DX65" ca="1" si="244">SUMA(CL65:DE65)-CR65+SUMA(DG65:DV65)</f>
        <v>#NAME?</v>
      </c>
    </row>
    <row r="66" spans="1:128" s="19" customFormat="1" ht="16" customHeight="1">
      <c r="A66" s="18"/>
      <c r="B66" s="17"/>
      <c r="C66" s="16"/>
      <c r="D66" s="16"/>
      <c r="E66" s="16"/>
      <c r="F66" s="16"/>
      <c r="G66" s="16"/>
      <c r="H66" s="20"/>
      <c r="I66" s="20"/>
      <c r="J66" s="20"/>
      <c r="K66" s="20"/>
      <c r="L66" s="20"/>
      <c r="M66" s="20"/>
      <c r="N66" s="20"/>
      <c r="O66" s="20"/>
      <c r="P66" s="20"/>
      <c r="Q66" s="20"/>
      <c r="R66" s="20"/>
      <c r="S66" s="20"/>
      <c r="T66"/>
      <c r="U66"/>
      <c r="V66"/>
      <c r="W66"/>
      <c r="X66"/>
      <c r="Y66"/>
      <c r="Z66" s="16"/>
      <c r="AA66" s="16"/>
      <c r="AB66" s="55"/>
      <c r="AC66"/>
      <c r="AD66"/>
      <c r="AE66"/>
      <c r="AF66"/>
      <c r="AG66"/>
      <c r="AH66"/>
      <c r="AI66"/>
      <c r="AJ66"/>
      <c r="AK66"/>
      <c r="AL66"/>
      <c r="AM66"/>
      <c r="AN66"/>
      <c r="AO66"/>
      <c r="AP66"/>
      <c r="AQ66"/>
      <c r="AS66" s="55"/>
      <c r="AT66"/>
      <c r="AU66" s="41"/>
      <c r="AV66" s="16"/>
      <c r="AW66" s="16"/>
      <c r="AX66" s="16"/>
      <c r="AY66" s="16"/>
      <c r="AZ66" s="16"/>
      <c r="BA66" s="16"/>
      <c r="BB66" s="16"/>
      <c r="BC66" s="16"/>
      <c r="BD66" s="16"/>
      <c r="BE66" s="16"/>
      <c r="BF66" s="16"/>
      <c r="BG66" s="16"/>
      <c r="BH66" s="16"/>
      <c r="BI66"/>
      <c r="BJ66"/>
      <c r="BK66"/>
      <c r="BL66"/>
      <c r="BM66"/>
      <c r="BN66"/>
      <c r="BO66"/>
      <c r="BP66"/>
      <c r="BQ66" s="55"/>
      <c r="BR66"/>
      <c r="BS66"/>
      <c r="BT66"/>
      <c r="BU66"/>
      <c r="BV66"/>
      <c r="BW66"/>
      <c r="BX66"/>
      <c r="BY66"/>
      <c r="BZ66"/>
      <c r="CA66"/>
      <c r="CB66"/>
      <c r="CC66"/>
      <c r="CD66"/>
      <c r="CE66"/>
      <c r="CF66"/>
      <c r="CH66" s="55"/>
      <c r="CI66"/>
      <c r="CJ66" s="16"/>
      <c r="CK66" s="16"/>
      <c r="CL66" s="28"/>
      <c r="CM66" s="28"/>
      <c r="CN66" s="28"/>
      <c r="CO66" s="28"/>
      <c r="CP66" s="28"/>
      <c r="CQ66" s="28"/>
      <c r="CR66" s="28"/>
      <c r="CS66" s="28"/>
      <c r="CT66" s="28"/>
      <c r="CU66" s="28"/>
      <c r="CV66" s="28"/>
      <c r="CW66" s="28"/>
      <c r="CX66" s="28"/>
      <c r="CY66" s="28"/>
      <c r="CZ66" s="28"/>
      <c r="DA66" s="28"/>
      <c r="DB66" s="28"/>
      <c r="DC66" s="28"/>
      <c r="DD66" s="28"/>
      <c r="DF66" s="55"/>
      <c r="DX66" s="28"/>
    </row>
    <row r="67" spans="1:128" s="19" customFormat="1" ht="16" customHeight="1">
      <c r="A67" s="18"/>
      <c r="B67" s="17" t="s">
        <v>431</v>
      </c>
      <c r="C67" s="16"/>
      <c r="D67" s="16"/>
      <c r="E67" s="16"/>
      <c r="F67" s="16"/>
      <c r="G67" s="16"/>
      <c r="H67" s="20">
        <v>23.69</v>
      </c>
      <c r="I67" s="20"/>
      <c r="J67" s="20">
        <v>0.88</v>
      </c>
      <c r="K67" s="20"/>
      <c r="L67" s="20">
        <v>0.4</v>
      </c>
      <c r="M67" s="20"/>
      <c r="N67" s="20"/>
      <c r="O67" s="20">
        <v>0.54</v>
      </c>
      <c r="P67" s="20"/>
      <c r="Q67" s="20"/>
      <c r="R67" s="20">
        <v>0.9</v>
      </c>
      <c r="S67" s="20">
        <v>3.61</v>
      </c>
      <c r="T67" s="20">
        <v>0.83</v>
      </c>
      <c r="U67" s="20"/>
      <c r="V67" s="20"/>
      <c r="W67" s="20"/>
      <c r="X67" s="20"/>
      <c r="Y67" s="20">
        <v>58.54</v>
      </c>
      <c r="Z67" s="20"/>
      <c r="AA67" s="20"/>
      <c r="AB67" s="55"/>
      <c r="AC67" s="20"/>
      <c r="AD67" s="20"/>
      <c r="AE67" s="20"/>
      <c r="AF67" s="20"/>
      <c r="AG67" s="20"/>
      <c r="AH67" s="20">
        <v>9.18</v>
      </c>
      <c r="AI67" s="20"/>
      <c r="AJ67" s="20">
        <v>1.45</v>
      </c>
      <c r="AK67" s="20"/>
      <c r="AL67" s="20"/>
      <c r="AM67" s="20"/>
      <c r="AN67" s="20"/>
      <c r="AO67" s="20"/>
      <c r="AP67" s="20"/>
      <c r="AQ67" s="20"/>
      <c r="AS67" s="55"/>
      <c r="AT67" s="20"/>
      <c r="AU67" s="20">
        <v>0</v>
      </c>
      <c r="AV67" s="20"/>
      <c r="AW67" s="11">
        <f t="shared" ref="AW67:AW74" si="245">28.0855*H67*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17.117754147104257</v>
      </c>
      <c r="AX67" s="11">
        <f t="shared" ref="AX67:AX74" si="246">I67*47.867*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AY67" s="11">
        <f t="shared" ref="AY67:AY74" si="247">J67*26.981539*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0.61087022010873404</v>
      </c>
      <c r="AZ67" s="11">
        <f t="shared" ref="AZ67:AZ74" si="248">K67*51.9961*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A67" s="11">
        <f t="shared" ref="BA67:BA74" si="249">L67*55.845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0.57470351120062046</v>
      </c>
      <c r="BB67" s="11">
        <f t="shared" ref="BB67:BB74" si="250">M68*55.845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C67" s="11">
        <f t="shared" ref="BC67:BC74" si="251">N67*54.938044*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D67" s="11">
        <f t="shared" ref="BD67:BD74" si="252">O67*24.305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0.33766725639962319</v>
      </c>
      <c r="BE67" s="11">
        <f t="shared" ref="BE67:BE74" si="253">P67*58.6934*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F67" s="11">
        <f t="shared" ref="BF67:BF74" si="254">Q67*65.38*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G67" s="11">
        <f t="shared" ref="BG67:BG74" si="255">R67*40.078*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0.92800029499993841</v>
      </c>
      <c r="BH67" s="11">
        <f t="shared" ref="BH67:BH74" si="256">S67*22.989769*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2.1352138278820014</v>
      </c>
      <c r="BI67" s="11">
        <f t="shared" ref="BI67:BI74" si="257">T67*39.0983*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0.8349020566899199</v>
      </c>
      <c r="BJ67" s="56">
        <f t="shared" ref="BJ67:BJ74" si="258">U67*30.973762*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K67" s="11">
        <f t="shared" ref="BK67:BK74" si="259">V67*32.065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L67" s="34">
        <f t="shared" ref="BL67:BL74" si="260">W67*18.9984*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M67" s="11">
        <f t="shared" ref="BM67:BM74" si="261">X67*35.453*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N67" s="11">
        <f t="shared" ref="BN67:BN74" si="262">AA67*12.011*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O67" s="11">
        <f t="shared" ref="BO67:BO74" si="263">Y67*15.999*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24.096009203483007</v>
      </c>
      <c r="BP67" s="11">
        <f t="shared" ref="BP67:BP74" si="264">Z67*1.00784*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Q67" s="54"/>
      <c r="BR67" s="56">
        <f t="shared" ref="BR67:BR74" si="265">AC67*58.933195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S67" s="56">
        <f t="shared" ref="BS67:BS74" si="266">AD67*63.546*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T67" s="56">
        <f t="shared" ref="BT67:BT74" si="267">AE67*9.012182*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U67" s="56">
        <f t="shared" ref="BU67:BU74" si="268">AF67*137.327*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V67" s="56">
        <f t="shared" ref="BV67:BV74" si="269">AG67*87.62*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W67" s="56">
        <f t="shared" ref="BW67:BW74" si="270">AH67*207.2*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48.936397611274742</v>
      </c>
      <c r="BX67" s="56">
        <f t="shared" ref="BX67:BX74" si="271">AI67*50.9415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BY67" s="56">
        <f t="shared" ref="BY67:BY74" si="272">AJ67*118.71*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4.4284818708571576</v>
      </c>
      <c r="BZ67" s="56">
        <f t="shared" ref="BZ67:BZ74" si="273">AK67*91.224*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CA67" s="56">
        <f t="shared" ref="CA67:CA74" si="274">AL67*88.90585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CB67" s="56">
        <f t="shared" ref="CB67:CB74" si="275">AM67*95.95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CC67" s="56">
        <f t="shared" ref="CC67:CC74" si="276">AN67*183.84*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CD67" s="56">
        <f t="shared" ref="CD67:CD74" si="277">AO67*74.9216*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CE67" s="56">
        <f t="shared" ref="CE67:CE74" si="278">AP67*78.96*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CF67" s="56">
        <f t="shared" ref="CF67:CF74" si="279">AQ67*121.75*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CG67" s="56">
        <f t="shared" ref="CG67:CG74" si="280">AR67*127.6*100/(H67*28.0855+I67*47.867+J67*26.981539+K67*51.9961+L67*55.845+M67*55.845+N67*54.938044+O67*24.305+P67*58.6934+Q67*65.38+R67*40.078+S67*22.989769+T67*39.0983+U67*30.973762+AC67*58.933195+AD67*63.546+AE67*9.012182+AF67*137.327+AG67*87.62+AH67*207.2+AI67*50.9415+AJ67*118.71+AK67*91.224+AL67*88.90585+AM67*95.95+AN67*183.84+AO67*74.9216+W67*18.9984+X67*35.453+Y67*15.999+V67*32.065+Z67*1.00784+AA67*12.011+AP67*78.96+AQ67*121.75+AR67*127.6)</f>
        <v>0</v>
      </c>
      <c r="CH67" s="54"/>
      <c r="CI67" s="11"/>
      <c r="CJ67" s="12" t="e">
        <f t="shared" ref="CJ67:CJ74" ca="1" si="281">SUMA(AW67:CG67)</f>
        <v>#NAME?</v>
      </c>
      <c r="CK67" s="16"/>
      <c r="CL67" s="60">
        <f t="shared" ref="CL67:CL74" si="282">H67*60.084/(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35.695709514602889</v>
      </c>
      <c r="CM67" s="60">
        <f t="shared" ref="CM67:CM74" si="283">I67*79.866/(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CN67" s="60">
        <f t="shared" ref="CN67:CN74" si="284">J67/2*101.961/(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1.1250682874284899</v>
      </c>
      <c r="CO67" s="60">
        <f t="shared" ref="CO67:CO74" si="285">K67/2*151.99/(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CP67" s="60">
        <f t="shared" ref="CP67:CP74" si="286">M67/2*159.69/(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CQ67" s="60">
        <f t="shared" ref="CQ67:CQ74" si="287">L67*71.844/(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0.72068024264190522</v>
      </c>
      <c r="CR67" s="60">
        <f t="shared" ref="CR67:CR74" si="288">CP67*1/((159.69/71.844)/2)+CQ67</f>
        <v>0.72068024264190522</v>
      </c>
      <c r="CS67" s="60">
        <f t="shared" ref="CS67:CS74" si="289">N67*70.937/(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CT67" s="60">
        <f t="shared" ref="CT67:CT74" si="290">O67*40.304/(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0.54580062739050061</v>
      </c>
      <c r="CU67" s="60">
        <f t="shared" ref="CU67:CU74" si="291">P67*74.693/(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CV67" s="60">
        <f t="shared" ref="CV67:CV74" si="292">Q67*81.38/(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CW67" s="60">
        <f t="shared" ref="CW67:CW74" si="293">R67*56.077/(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1.2656668396096786</v>
      </c>
      <c r="CX67" s="60">
        <f t="shared" ref="CX67:CX74" si="294">S67/2*61.979/(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2.8055233759763607</v>
      </c>
      <c r="CY67" s="60">
        <f t="shared" ref="CY67:CY74" si="295">T67/2*94.196/(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0.98033086953667692</v>
      </c>
      <c r="CZ67" s="60">
        <f t="shared" ref="CZ67:CZ74" si="296">U67/2*141.94/(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A67" s="60">
        <f t="shared" ref="DA67:DA74" si="297">V67*80.06/(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B67" s="60">
        <f t="shared" ref="DB67:DB74" si="298">W67*37.9968/2/(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C67" s="60">
        <f t="shared" ref="DC67:DC74" si="299">X67*70.906/2/(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D67" s="60">
        <f t="shared" ref="DD67:DD74" si="300">Z67/2*18.015/(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E67" s="60">
        <f t="shared" ref="DE67:DE74" si="301">AA67*44.01/(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F67" s="55"/>
      <c r="DG67" s="60">
        <f t="shared" ref="DG67:DG74" si="302">AC67*74.9327/(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H67" s="60">
        <f t="shared" ref="DH67:DH74" si="303">AD67*79.545/(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I67" s="60">
        <f t="shared" ref="DI67:DI74" si="304">AE67*25.0117/(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J67" s="60">
        <f t="shared" ref="DJ67:DJ74" si="305">AF67*153.3395/(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K67" s="60">
        <f t="shared" ref="DK67:DK74" si="306">AG67*103.6195/(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L67" s="60">
        <f t="shared" ref="DL67:DL74" si="307">AH67*223.1895/(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51.381710876303245</v>
      </c>
      <c r="DM67" s="60">
        <f t="shared" ref="DM67:DM74" si="308">AI67*181.8815/2/(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N67" s="60">
        <f t="shared" ref="DN67:DN74" si="309">AJ67*150.689/(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5.4795093665102774</v>
      </c>
      <c r="DO67" s="60">
        <f t="shared" ref="DO67:DO74" si="310">AK67*123.22/(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P67" s="60">
        <f t="shared" ref="DP67:DP74" si="311">AL67*225.8085/2/(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Q67" s="60">
        <f t="shared" ref="DQ67:DQ74" si="312">AM67*143.9385/(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R67" s="60">
        <f t="shared" ref="DR67:DR74" si="313">AN67*231.8485/(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S67" s="60">
        <f t="shared" ref="DS67:DS74" si="314">AO67*229.8407/2/(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T67" s="60">
        <f t="shared" ref="DT67:DT74" si="315">AP67*110.959/(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U67" s="60">
        <f t="shared" ref="DU67:DU74" si="316">AQ67*323.4975/2/(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V67" s="60">
        <f t="shared" ref="DV67:DV74" si="317">AR67*159.599/(H67*60.084+I67*79.866+J67/2*101.961+K67/2*151.99+L67*71.844+M67/2*159.69+N67*70.937+O67*40.304+P67*74.693+Q67*81.38+R67*56.077+S67/2*61.979+T67/2*94.196+U67/2*141.94+V67*80.06+W67*37.9968/2+X67*70.906/2+Z67/2*18.015+AA67*44.01+AC67*74.9327+AD67*79.545+AE67*25.0117+AF67*153.3395+AG67*103.6195+AH67*223.1895+AI67*181.8815/2+AJ67*150.689+AK67*123.22+AL67*225.8085/2+AM67*143.9385+AN67*231.8485+AO67*229.8407/2+AP67*110.959+AQ67*323.4975/2+AR67*159.599)*100</f>
        <v>0</v>
      </c>
      <c r="DW67" s="60"/>
      <c r="DX67" s="60" t="e">
        <f t="shared" ref="DX67:DX74" ca="1" si="318">SUMA(CL67:DE67)-CR67+SUMA(DG67:DV67)</f>
        <v>#NAME?</v>
      </c>
    </row>
    <row r="68" spans="1:128" s="19" customFormat="1" ht="16" customHeight="1">
      <c r="A68" s="18"/>
      <c r="B68" s="17" t="s">
        <v>432</v>
      </c>
      <c r="C68" s="16"/>
      <c r="D68" s="16"/>
      <c r="E68" s="16"/>
      <c r="F68" s="16"/>
      <c r="G68" s="16"/>
      <c r="H68" s="20">
        <v>23.71</v>
      </c>
      <c r="I68" s="20"/>
      <c r="J68" s="20">
        <v>0.95</v>
      </c>
      <c r="K68" s="20"/>
      <c r="L68" s="20">
        <v>0.42</v>
      </c>
      <c r="M68" s="20"/>
      <c r="N68" s="20"/>
      <c r="O68" s="20">
        <v>0.7</v>
      </c>
      <c r="P68" s="20"/>
      <c r="Q68" s="20"/>
      <c r="R68" s="20">
        <v>0.88</v>
      </c>
      <c r="S68" s="20">
        <v>3.6</v>
      </c>
      <c r="T68" s="20">
        <v>0.9</v>
      </c>
      <c r="U68" s="20"/>
      <c r="V68" s="20"/>
      <c r="W68" s="20"/>
      <c r="X68" s="20"/>
      <c r="Y68" s="20">
        <v>58.59</v>
      </c>
      <c r="Z68" s="20"/>
      <c r="AA68" s="20"/>
      <c r="AB68" s="55"/>
      <c r="AC68" s="20"/>
      <c r="AD68" s="20"/>
      <c r="AE68" s="20"/>
      <c r="AF68" s="20"/>
      <c r="AG68" s="20"/>
      <c r="AH68" s="20">
        <v>8.91</v>
      </c>
      <c r="AI68" s="20"/>
      <c r="AJ68" s="20">
        <v>1.33</v>
      </c>
      <c r="AK68" s="20"/>
      <c r="AL68" s="20"/>
      <c r="AM68" s="20"/>
      <c r="AN68" s="20"/>
      <c r="AO68" s="20"/>
      <c r="AP68" s="20"/>
      <c r="AQ68" s="20"/>
      <c r="AS68" s="55"/>
      <c r="AT68" s="20"/>
      <c r="AU68" s="20">
        <v>0</v>
      </c>
      <c r="AV68" s="20"/>
      <c r="AW68" s="11">
        <f t="shared" si="245"/>
        <v>17.401849958179412</v>
      </c>
      <c r="AX68" s="11">
        <f t="shared" si="246"/>
        <v>0</v>
      </c>
      <c r="AY68" s="11">
        <f t="shared" si="247"/>
        <v>0.66984146635390118</v>
      </c>
      <c r="AZ68" s="11">
        <f t="shared" si="248"/>
        <v>0</v>
      </c>
      <c r="BA68" s="11">
        <f t="shared" si="249"/>
        <v>0.61293622823033167</v>
      </c>
      <c r="BB68" s="11">
        <f t="shared" si="250"/>
        <v>0</v>
      </c>
      <c r="BC68" s="11">
        <f t="shared" si="251"/>
        <v>0</v>
      </c>
      <c r="BD68" s="11">
        <f t="shared" si="252"/>
        <v>0.44460605327657537</v>
      </c>
      <c r="BE68" s="11">
        <f t="shared" si="253"/>
        <v>0</v>
      </c>
      <c r="BF68" s="11">
        <f t="shared" si="254"/>
        <v>0</v>
      </c>
      <c r="BG68" s="11">
        <f t="shared" si="255"/>
        <v>0.92165931964806547</v>
      </c>
      <c r="BH68" s="11">
        <f t="shared" si="256"/>
        <v>2.1628122172973572</v>
      </c>
      <c r="BI68" s="11">
        <f t="shared" si="257"/>
        <v>0.91956427352050885</v>
      </c>
      <c r="BJ68" s="56">
        <f t="shared" si="258"/>
        <v>0</v>
      </c>
      <c r="BK68" s="11">
        <f t="shared" si="259"/>
        <v>0</v>
      </c>
      <c r="BL68" s="34">
        <f t="shared" si="260"/>
        <v>0</v>
      </c>
      <c r="BM68" s="11">
        <f t="shared" si="261"/>
        <v>0</v>
      </c>
      <c r="BN68" s="11">
        <f t="shared" si="262"/>
        <v>0</v>
      </c>
      <c r="BO68" s="11">
        <f t="shared" si="263"/>
        <v>24.496161819433475</v>
      </c>
      <c r="BP68" s="11">
        <f t="shared" si="264"/>
        <v>0</v>
      </c>
      <c r="BQ68" s="54"/>
      <c r="BR68" s="56">
        <f t="shared" si="265"/>
        <v>0</v>
      </c>
      <c r="BS68" s="56">
        <f t="shared" si="266"/>
        <v>0</v>
      </c>
      <c r="BT68" s="56">
        <f t="shared" si="267"/>
        <v>0</v>
      </c>
      <c r="BU68" s="56">
        <f t="shared" si="268"/>
        <v>0</v>
      </c>
      <c r="BV68" s="56">
        <f t="shared" si="269"/>
        <v>0</v>
      </c>
      <c r="BW68" s="56">
        <f t="shared" si="270"/>
        <v>48.244650099547783</v>
      </c>
      <c r="BX68" s="56">
        <f t="shared" si="271"/>
        <v>0</v>
      </c>
      <c r="BY68" s="56">
        <f t="shared" si="272"/>
        <v>4.1259185645125829</v>
      </c>
      <c r="BZ68" s="56">
        <f t="shared" si="273"/>
        <v>0</v>
      </c>
      <c r="CA68" s="56">
        <f t="shared" si="274"/>
        <v>0</v>
      </c>
      <c r="CB68" s="56">
        <f t="shared" si="275"/>
        <v>0</v>
      </c>
      <c r="CC68" s="56">
        <f t="shared" si="276"/>
        <v>0</v>
      </c>
      <c r="CD68" s="56">
        <f t="shared" si="277"/>
        <v>0</v>
      </c>
      <c r="CE68" s="56">
        <f t="shared" si="278"/>
        <v>0</v>
      </c>
      <c r="CF68" s="56">
        <f t="shared" si="279"/>
        <v>0</v>
      </c>
      <c r="CG68" s="56">
        <f t="shared" si="280"/>
        <v>0</v>
      </c>
      <c r="CH68" s="54"/>
      <c r="CI68" s="11"/>
      <c r="CJ68" s="12" t="e">
        <f t="shared" ca="1" si="281"/>
        <v>#NAME?</v>
      </c>
      <c r="CK68" s="16"/>
      <c r="CL68" s="60">
        <f t="shared" si="282"/>
        <v>36.306952460043277</v>
      </c>
      <c r="CM68" s="60">
        <f t="shared" si="283"/>
        <v>0</v>
      </c>
      <c r="CN68" s="60">
        <f t="shared" si="284"/>
        <v>1.2343181098513076</v>
      </c>
      <c r="CO68" s="60">
        <f t="shared" si="285"/>
        <v>0</v>
      </c>
      <c r="CP68" s="60">
        <f t="shared" si="286"/>
        <v>0</v>
      </c>
      <c r="CQ68" s="60">
        <f t="shared" si="287"/>
        <v>0.76902277123185037</v>
      </c>
      <c r="CR68" s="60">
        <f t="shared" si="288"/>
        <v>0.76902277123185037</v>
      </c>
      <c r="CS68" s="60">
        <f t="shared" si="289"/>
        <v>0</v>
      </c>
      <c r="CT68" s="60">
        <f t="shared" si="290"/>
        <v>0.71902765649018474</v>
      </c>
      <c r="CU68" s="60">
        <f t="shared" si="291"/>
        <v>0</v>
      </c>
      <c r="CV68" s="60">
        <f t="shared" si="292"/>
        <v>0</v>
      </c>
      <c r="CW68" s="60">
        <f t="shared" si="293"/>
        <v>1.2576704271054302</v>
      </c>
      <c r="CX68" s="60">
        <f t="shared" si="294"/>
        <v>2.8432593439463396</v>
      </c>
      <c r="CY68" s="60">
        <f t="shared" si="295"/>
        <v>1.0803000095289106</v>
      </c>
      <c r="CZ68" s="60">
        <f t="shared" si="296"/>
        <v>0</v>
      </c>
      <c r="DA68" s="60">
        <f t="shared" si="297"/>
        <v>0</v>
      </c>
      <c r="DB68" s="60">
        <f t="shared" si="298"/>
        <v>0</v>
      </c>
      <c r="DC68" s="60">
        <f t="shared" si="299"/>
        <v>0</v>
      </c>
      <c r="DD68" s="60">
        <f t="shared" si="300"/>
        <v>0</v>
      </c>
      <c r="DE68" s="60">
        <f t="shared" si="301"/>
        <v>0</v>
      </c>
      <c r="DF68" s="55"/>
      <c r="DG68" s="60">
        <f t="shared" si="302"/>
        <v>0</v>
      </c>
      <c r="DH68" s="60">
        <f t="shared" si="303"/>
        <v>0</v>
      </c>
      <c r="DI68" s="60">
        <f t="shared" si="304"/>
        <v>0</v>
      </c>
      <c r="DJ68" s="60">
        <f t="shared" si="305"/>
        <v>0</v>
      </c>
      <c r="DK68" s="60">
        <f t="shared" si="306"/>
        <v>0</v>
      </c>
      <c r="DL68" s="60">
        <f t="shared" si="307"/>
        <v>50.68166435665745</v>
      </c>
      <c r="DM68" s="60">
        <f t="shared" si="308"/>
        <v>0</v>
      </c>
      <c r="DN68" s="60">
        <f t="shared" si="309"/>
        <v>5.1077848651452449</v>
      </c>
      <c r="DO68" s="60">
        <f t="shared" si="310"/>
        <v>0</v>
      </c>
      <c r="DP68" s="60">
        <f t="shared" si="311"/>
        <v>0</v>
      </c>
      <c r="DQ68" s="60">
        <f t="shared" si="312"/>
        <v>0</v>
      </c>
      <c r="DR68" s="60">
        <f t="shared" si="313"/>
        <v>0</v>
      </c>
      <c r="DS68" s="60">
        <f t="shared" si="314"/>
        <v>0</v>
      </c>
      <c r="DT68" s="60">
        <f t="shared" si="315"/>
        <v>0</v>
      </c>
      <c r="DU68" s="60">
        <f t="shared" si="316"/>
        <v>0</v>
      </c>
      <c r="DV68" s="60">
        <f t="shared" si="317"/>
        <v>0</v>
      </c>
      <c r="DW68" s="60"/>
      <c r="DX68" s="60" t="e">
        <f t="shared" ca="1" si="318"/>
        <v>#NAME?</v>
      </c>
    </row>
    <row r="69" spans="1:128" s="19" customFormat="1" ht="16" customHeight="1">
      <c r="A69" s="18"/>
      <c r="B69" s="17" t="s">
        <v>433</v>
      </c>
      <c r="C69" s="16"/>
      <c r="D69" s="16"/>
      <c r="E69" s="16"/>
      <c r="F69" s="16"/>
      <c r="G69" s="16"/>
      <c r="H69" s="20">
        <v>24.67</v>
      </c>
      <c r="I69" s="20"/>
      <c r="J69" s="20">
        <v>0.92</v>
      </c>
      <c r="K69" s="20"/>
      <c r="L69" s="20">
        <v>0.33</v>
      </c>
      <c r="M69" s="20"/>
      <c r="N69" s="20"/>
      <c r="O69" s="20">
        <v>0.63</v>
      </c>
      <c r="P69" s="20"/>
      <c r="Q69" s="20"/>
      <c r="R69" s="20">
        <v>1.1000000000000001</v>
      </c>
      <c r="S69" s="20">
        <v>3.7</v>
      </c>
      <c r="T69" s="20"/>
      <c r="U69" s="20">
        <v>0.18</v>
      </c>
      <c r="V69" s="20"/>
      <c r="W69" s="20"/>
      <c r="X69" s="20"/>
      <c r="Y69" s="20">
        <v>58.45</v>
      </c>
      <c r="Z69" s="20"/>
      <c r="AA69" s="20"/>
      <c r="AB69" s="55"/>
      <c r="AC69" s="20"/>
      <c r="AD69" s="20"/>
      <c r="AE69" s="20"/>
      <c r="AF69" s="20"/>
      <c r="AG69" s="20"/>
      <c r="AH69" s="20">
        <v>9.3800000000000008</v>
      </c>
      <c r="AI69" s="20"/>
      <c r="AJ69" s="20">
        <v>0.64</v>
      </c>
      <c r="AK69" s="20"/>
      <c r="AL69" s="20"/>
      <c r="AM69" s="20"/>
      <c r="AN69" s="20"/>
      <c r="AO69" s="20"/>
      <c r="AP69" s="20"/>
      <c r="AQ69" s="20"/>
      <c r="AS69" s="55"/>
      <c r="AT69" s="20"/>
      <c r="AU69" s="20">
        <v>0</v>
      </c>
      <c r="AV69" s="20"/>
      <c r="AW69" s="11">
        <f t="shared" si="245"/>
        <v>18.039672892032414</v>
      </c>
      <c r="AX69" s="11">
        <f t="shared" si="246"/>
        <v>0</v>
      </c>
      <c r="AY69" s="11">
        <f t="shared" si="247"/>
        <v>0.64629663395877934</v>
      </c>
      <c r="AZ69" s="11">
        <f t="shared" si="248"/>
        <v>0</v>
      </c>
      <c r="BA69" s="11">
        <f t="shared" si="249"/>
        <v>0.47981694812222991</v>
      </c>
      <c r="BB69" s="11">
        <f t="shared" si="250"/>
        <v>0</v>
      </c>
      <c r="BC69" s="11">
        <f t="shared" si="251"/>
        <v>0</v>
      </c>
      <c r="BD69" s="11">
        <f t="shared" si="252"/>
        <v>0.39866997030144602</v>
      </c>
      <c r="BE69" s="11">
        <f t="shared" si="253"/>
        <v>0</v>
      </c>
      <c r="BF69" s="11">
        <f t="shared" si="254"/>
        <v>0</v>
      </c>
      <c r="BG69" s="11">
        <f t="shared" si="255"/>
        <v>1.1478260451155122</v>
      </c>
      <c r="BH69" s="11">
        <f t="shared" si="256"/>
        <v>2.2146937523814931</v>
      </c>
      <c r="BI69" s="11">
        <f t="shared" si="257"/>
        <v>0</v>
      </c>
      <c r="BJ69" s="56">
        <f t="shared" si="258"/>
        <v>0.14515894761999654</v>
      </c>
      <c r="BK69" s="11">
        <f t="shared" si="259"/>
        <v>0</v>
      </c>
      <c r="BL69" s="34">
        <f t="shared" si="260"/>
        <v>0</v>
      </c>
      <c r="BM69" s="11">
        <f t="shared" si="261"/>
        <v>0</v>
      </c>
      <c r="BN69" s="11">
        <f t="shared" si="262"/>
        <v>0</v>
      </c>
      <c r="BO69" s="11">
        <f t="shared" si="263"/>
        <v>24.347518406373251</v>
      </c>
      <c r="BP69" s="11">
        <f t="shared" si="264"/>
        <v>0</v>
      </c>
      <c r="BQ69" s="54"/>
      <c r="BR69" s="56">
        <f t="shared" si="265"/>
        <v>0</v>
      </c>
      <c r="BS69" s="56">
        <f t="shared" si="266"/>
        <v>0</v>
      </c>
      <c r="BT69" s="56">
        <f t="shared" si="267"/>
        <v>0</v>
      </c>
      <c r="BU69" s="56">
        <f t="shared" si="268"/>
        <v>0</v>
      </c>
      <c r="BV69" s="56">
        <f t="shared" si="269"/>
        <v>0</v>
      </c>
      <c r="BW69" s="56">
        <f t="shared" si="270"/>
        <v>50.60226286966828</v>
      </c>
      <c r="BX69" s="56">
        <f t="shared" si="271"/>
        <v>0</v>
      </c>
      <c r="BY69" s="56">
        <f t="shared" si="272"/>
        <v>1.9780835344265946</v>
      </c>
      <c r="BZ69" s="56">
        <f t="shared" si="273"/>
        <v>0</v>
      </c>
      <c r="CA69" s="56">
        <f t="shared" si="274"/>
        <v>0</v>
      </c>
      <c r="CB69" s="56">
        <f t="shared" si="275"/>
        <v>0</v>
      </c>
      <c r="CC69" s="56">
        <f t="shared" si="276"/>
        <v>0</v>
      </c>
      <c r="CD69" s="56">
        <f t="shared" si="277"/>
        <v>0</v>
      </c>
      <c r="CE69" s="56">
        <f t="shared" si="278"/>
        <v>0</v>
      </c>
      <c r="CF69" s="56">
        <f t="shared" si="279"/>
        <v>0</v>
      </c>
      <c r="CG69" s="56">
        <f t="shared" si="280"/>
        <v>0</v>
      </c>
      <c r="CH69" s="54"/>
      <c r="CI69" s="11"/>
      <c r="CJ69" s="12" t="e">
        <f t="shared" ca="1" si="281"/>
        <v>#NAME?</v>
      </c>
      <c r="CK69" s="16"/>
      <c r="CL69" s="60">
        <f t="shared" si="282"/>
        <v>37.456152322816365</v>
      </c>
      <c r="CM69" s="60">
        <f t="shared" si="283"/>
        <v>0</v>
      </c>
      <c r="CN69" s="60">
        <f t="shared" si="284"/>
        <v>1.1851875848436377</v>
      </c>
      <c r="CO69" s="60">
        <f t="shared" si="285"/>
        <v>0</v>
      </c>
      <c r="CP69" s="60">
        <f t="shared" si="286"/>
        <v>0</v>
      </c>
      <c r="CQ69" s="60">
        <f t="shared" si="287"/>
        <v>0.59910041390542523</v>
      </c>
      <c r="CR69" s="60">
        <f t="shared" si="288"/>
        <v>0.59910041390542523</v>
      </c>
      <c r="CS69" s="60">
        <f t="shared" si="289"/>
        <v>0</v>
      </c>
      <c r="CT69" s="60">
        <f t="shared" si="290"/>
        <v>0.64162883814290728</v>
      </c>
      <c r="CU69" s="60">
        <f t="shared" si="291"/>
        <v>0</v>
      </c>
      <c r="CV69" s="60">
        <f t="shared" si="292"/>
        <v>0</v>
      </c>
      <c r="CW69" s="60">
        <f t="shared" si="293"/>
        <v>1.5587362391929982</v>
      </c>
      <c r="CX69" s="60">
        <f t="shared" si="294"/>
        <v>2.8974201014602361</v>
      </c>
      <c r="CY69" s="60">
        <f t="shared" si="295"/>
        <v>0</v>
      </c>
      <c r="CZ69" s="60">
        <f t="shared" si="296"/>
        <v>0.32280665969348754</v>
      </c>
      <c r="DA69" s="60">
        <f t="shared" si="297"/>
        <v>0</v>
      </c>
      <c r="DB69" s="60">
        <f t="shared" si="298"/>
        <v>0</v>
      </c>
      <c r="DC69" s="60">
        <f t="shared" si="299"/>
        <v>0</v>
      </c>
      <c r="DD69" s="60">
        <f t="shared" si="300"/>
        <v>0</v>
      </c>
      <c r="DE69" s="60">
        <f t="shared" si="301"/>
        <v>0</v>
      </c>
      <c r="DF69" s="55"/>
      <c r="DG69" s="60">
        <f t="shared" si="302"/>
        <v>0</v>
      </c>
      <c r="DH69" s="60">
        <f t="shared" si="303"/>
        <v>0</v>
      </c>
      <c r="DI69" s="60">
        <f t="shared" si="304"/>
        <v>0</v>
      </c>
      <c r="DJ69" s="60">
        <f t="shared" si="305"/>
        <v>0</v>
      </c>
      <c r="DK69" s="60">
        <f t="shared" si="306"/>
        <v>0</v>
      </c>
      <c r="DL69" s="60">
        <f t="shared" si="307"/>
        <v>52.901961267900951</v>
      </c>
      <c r="DM69" s="60">
        <f t="shared" si="308"/>
        <v>0</v>
      </c>
      <c r="DN69" s="60">
        <f t="shared" si="309"/>
        <v>2.4370065720439973</v>
      </c>
      <c r="DO69" s="60">
        <f t="shared" si="310"/>
        <v>0</v>
      </c>
      <c r="DP69" s="60">
        <f t="shared" si="311"/>
        <v>0</v>
      </c>
      <c r="DQ69" s="60">
        <f t="shared" si="312"/>
        <v>0</v>
      </c>
      <c r="DR69" s="60">
        <f t="shared" si="313"/>
        <v>0</v>
      </c>
      <c r="DS69" s="60">
        <f t="shared" si="314"/>
        <v>0</v>
      </c>
      <c r="DT69" s="60">
        <f t="shared" si="315"/>
        <v>0</v>
      </c>
      <c r="DU69" s="60">
        <f t="shared" si="316"/>
        <v>0</v>
      </c>
      <c r="DV69" s="60">
        <f t="shared" si="317"/>
        <v>0</v>
      </c>
      <c r="DW69" s="60"/>
      <c r="DX69" s="60" t="e">
        <f t="shared" ca="1" si="318"/>
        <v>#NAME?</v>
      </c>
    </row>
    <row r="70" spans="1:128" s="19" customFormat="1" ht="16" customHeight="1">
      <c r="A70" s="18"/>
      <c r="B70" s="17" t="s">
        <v>434</v>
      </c>
      <c r="C70" s="16"/>
      <c r="D70" s="16"/>
      <c r="E70" s="16"/>
      <c r="F70" s="16"/>
      <c r="G70" s="16"/>
      <c r="H70" s="20">
        <v>34.76</v>
      </c>
      <c r="I70" s="20"/>
      <c r="J70" s="20"/>
      <c r="K70" s="20"/>
      <c r="L70" s="20"/>
      <c r="M70" s="20"/>
      <c r="N70" s="20"/>
      <c r="O70" s="20"/>
      <c r="P70" s="20"/>
      <c r="Q70" s="20"/>
      <c r="R70" s="20"/>
      <c r="S70" s="20"/>
      <c r="T70" s="20"/>
      <c r="U70" s="20"/>
      <c r="V70" s="20"/>
      <c r="W70" s="20"/>
      <c r="X70" s="20"/>
      <c r="Y70" s="20">
        <v>65.239999999999995</v>
      </c>
      <c r="Z70" s="20"/>
      <c r="AA70" s="20"/>
      <c r="AB70" s="55"/>
      <c r="AC70" s="20"/>
      <c r="AD70" s="20"/>
      <c r="AE70" s="20"/>
      <c r="AF70" s="20"/>
      <c r="AG70" s="20"/>
      <c r="AH70" s="20"/>
      <c r="AI70" s="20"/>
      <c r="AJ70" s="20"/>
      <c r="AK70" s="20"/>
      <c r="AL70" s="20"/>
      <c r="AM70" s="20"/>
      <c r="AN70" s="20"/>
      <c r="AO70" s="20"/>
      <c r="AP70" s="20"/>
      <c r="AQ70" s="20"/>
      <c r="AR70" s="20"/>
      <c r="AS70" s="55"/>
      <c r="AT70" s="20"/>
      <c r="AU70" s="20">
        <v>0</v>
      </c>
      <c r="AV70" s="20"/>
      <c r="AW70" s="11">
        <f t="shared" si="245"/>
        <v>48.328666183894178</v>
      </c>
      <c r="AX70" s="11">
        <f t="shared" si="246"/>
        <v>0</v>
      </c>
      <c r="AY70" s="11">
        <f t="shared" si="247"/>
        <v>0</v>
      </c>
      <c r="AZ70" s="11">
        <f t="shared" si="248"/>
        <v>0</v>
      </c>
      <c r="BA70" s="11">
        <f t="shared" si="249"/>
        <v>0</v>
      </c>
      <c r="BB70" s="11">
        <f t="shared" si="250"/>
        <v>0</v>
      </c>
      <c r="BC70" s="11">
        <f t="shared" si="251"/>
        <v>0</v>
      </c>
      <c r="BD70" s="11">
        <f t="shared" si="252"/>
        <v>0</v>
      </c>
      <c r="BE70" s="11">
        <f t="shared" si="253"/>
        <v>0</v>
      </c>
      <c r="BF70" s="11">
        <f t="shared" si="254"/>
        <v>0</v>
      </c>
      <c r="BG70" s="11">
        <f t="shared" si="255"/>
        <v>0</v>
      </c>
      <c r="BH70" s="11">
        <f t="shared" si="256"/>
        <v>0</v>
      </c>
      <c r="BI70" s="11">
        <f t="shared" si="257"/>
        <v>0</v>
      </c>
      <c r="BJ70" s="56">
        <f t="shared" si="258"/>
        <v>0</v>
      </c>
      <c r="BK70" s="11">
        <f t="shared" si="259"/>
        <v>0</v>
      </c>
      <c r="BL70" s="34">
        <f t="shared" si="260"/>
        <v>0</v>
      </c>
      <c r="BM70" s="11">
        <f t="shared" si="261"/>
        <v>0</v>
      </c>
      <c r="BN70" s="11">
        <f t="shared" si="262"/>
        <v>0</v>
      </c>
      <c r="BO70" s="11">
        <f t="shared" si="263"/>
        <v>51.671333816105822</v>
      </c>
      <c r="BP70" s="11">
        <f t="shared" si="264"/>
        <v>0</v>
      </c>
      <c r="BQ70" s="54"/>
      <c r="BR70" s="56">
        <f t="shared" si="265"/>
        <v>0</v>
      </c>
      <c r="BS70" s="56">
        <f t="shared" si="266"/>
        <v>0</v>
      </c>
      <c r="BT70" s="56">
        <f t="shared" si="267"/>
        <v>0</v>
      </c>
      <c r="BU70" s="56">
        <f t="shared" si="268"/>
        <v>0</v>
      </c>
      <c r="BV70" s="56">
        <f t="shared" si="269"/>
        <v>0</v>
      </c>
      <c r="BW70" s="56">
        <f t="shared" si="270"/>
        <v>0</v>
      </c>
      <c r="BX70" s="56">
        <f t="shared" si="271"/>
        <v>0</v>
      </c>
      <c r="BY70" s="56">
        <f t="shared" si="272"/>
        <v>0</v>
      </c>
      <c r="BZ70" s="56">
        <f t="shared" si="273"/>
        <v>0</v>
      </c>
      <c r="CA70" s="56">
        <f t="shared" si="274"/>
        <v>0</v>
      </c>
      <c r="CB70" s="56">
        <f t="shared" si="275"/>
        <v>0</v>
      </c>
      <c r="CC70" s="56">
        <f t="shared" si="276"/>
        <v>0</v>
      </c>
      <c r="CD70" s="56">
        <f t="shared" si="277"/>
        <v>0</v>
      </c>
      <c r="CE70" s="56">
        <f t="shared" si="278"/>
        <v>0</v>
      </c>
      <c r="CF70" s="56">
        <f t="shared" si="279"/>
        <v>0</v>
      </c>
      <c r="CG70" s="56">
        <f t="shared" si="280"/>
        <v>0</v>
      </c>
      <c r="CH70" s="54"/>
      <c r="CI70" s="11"/>
      <c r="CJ70" s="12" t="e">
        <f t="shared" ca="1" si="281"/>
        <v>#NAME?</v>
      </c>
      <c r="CK70" s="16"/>
      <c r="CL70" s="60">
        <f t="shared" si="282"/>
        <v>100</v>
      </c>
      <c r="CM70" s="60">
        <f t="shared" si="283"/>
        <v>0</v>
      </c>
      <c r="CN70" s="60">
        <f t="shared" si="284"/>
        <v>0</v>
      </c>
      <c r="CO70" s="60">
        <f t="shared" si="285"/>
        <v>0</v>
      </c>
      <c r="CP70" s="60">
        <f t="shared" si="286"/>
        <v>0</v>
      </c>
      <c r="CQ70" s="60">
        <f t="shared" si="287"/>
        <v>0</v>
      </c>
      <c r="CR70" s="60">
        <f t="shared" si="288"/>
        <v>0</v>
      </c>
      <c r="CS70" s="60">
        <f t="shared" si="289"/>
        <v>0</v>
      </c>
      <c r="CT70" s="60">
        <f t="shared" si="290"/>
        <v>0</v>
      </c>
      <c r="CU70" s="60">
        <f t="shared" si="291"/>
        <v>0</v>
      </c>
      <c r="CV70" s="60">
        <f t="shared" si="292"/>
        <v>0</v>
      </c>
      <c r="CW70" s="60">
        <f t="shared" si="293"/>
        <v>0</v>
      </c>
      <c r="CX70" s="60">
        <f t="shared" si="294"/>
        <v>0</v>
      </c>
      <c r="CY70" s="60">
        <f t="shared" si="295"/>
        <v>0</v>
      </c>
      <c r="CZ70" s="60">
        <f t="shared" si="296"/>
        <v>0</v>
      </c>
      <c r="DA70" s="60">
        <f t="shared" si="297"/>
        <v>0</v>
      </c>
      <c r="DB70" s="60">
        <f t="shared" si="298"/>
        <v>0</v>
      </c>
      <c r="DC70" s="60">
        <f t="shared" si="299"/>
        <v>0</v>
      </c>
      <c r="DD70" s="60">
        <f t="shared" si="300"/>
        <v>0</v>
      </c>
      <c r="DE70" s="60">
        <f t="shared" si="301"/>
        <v>0</v>
      </c>
      <c r="DF70" s="55"/>
      <c r="DG70" s="60">
        <f t="shared" si="302"/>
        <v>0</v>
      </c>
      <c r="DH70" s="60">
        <f t="shared" si="303"/>
        <v>0</v>
      </c>
      <c r="DI70" s="60">
        <f t="shared" si="304"/>
        <v>0</v>
      </c>
      <c r="DJ70" s="60">
        <f t="shared" si="305"/>
        <v>0</v>
      </c>
      <c r="DK70" s="60">
        <f t="shared" si="306"/>
        <v>0</v>
      </c>
      <c r="DL70" s="60">
        <f t="shared" si="307"/>
        <v>0</v>
      </c>
      <c r="DM70" s="60">
        <f t="shared" si="308"/>
        <v>0</v>
      </c>
      <c r="DN70" s="60">
        <f t="shared" si="309"/>
        <v>0</v>
      </c>
      <c r="DO70" s="60">
        <f t="shared" si="310"/>
        <v>0</v>
      </c>
      <c r="DP70" s="60">
        <f t="shared" si="311"/>
        <v>0</v>
      </c>
      <c r="DQ70" s="60">
        <f t="shared" si="312"/>
        <v>0</v>
      </c>
      <c r="DR70" s="60">
        <f t="shared" si="313"/>
        <v>0</v>
      </c>
      <c r="DS70" s="60">
        <f t="shared" si="314"/>
        <v>0</v>
      </c>
      <c r="DT70" s="60">
        <f t="shared" si="315"/>
        <v>0</v>
      </c>
      <c r="DU70" s="60">
        <f t="shared" si="316"/>
        <v>0</v>
      </c>
      <c r="DV70" s="60">
        <f t="shared" si="317"/>
        <v>0</v>
      </c>
      <c r="DW70" s="60"/>
      <c r="DX70" s="60" t="e">
        <f t="shared" ca="1" si="318"/>
        <v>#NAME?</v>
      </c>
    </row>
    <row r="71" spans="1:128" s="19" customFormat="1" ht="16" customHeight="1">
      <c r="A71" s="18"/>
      <c r="B71" s="17" t="s">
        <v>435</v>
      </c>
      <c r="C71" s="16"/>
      <c r="D71" s="16"/>
      <c r="E71" s="16"/>
      <c r="F71" s="16"/>
      <c r="G71" s="16"/>
      <c r="H71" s="20">
        <v>15.65</v>
      </c>
      <c r="I71" s="20"/>
      <c r="J71" s="20">
        <v>7.79</v>
      </c>
      <c r="K71" s="20"/>
      <c r="L71" s="20">
        <v>1.9</v>
      </c>
      <c r="M71" s="20"/>
      <c r="N71" s="20"/>
      <c r="O71" s="20">
        <v>3.74</v>
      </c>
      <c r="P71" s="20"/>
      <c r="Q71" s="20"/>
      <c r="R71" s="20">
        <v>10.02</v>
      </c>
      <c r="S71" s="20">
        <v>1.49</v>
      </c>
      <c r="T71" s="20"/>
      <c r="U71" s="20"/>
      <c r="V71" s="20"/>
      <c r="W71" s="20"/>
      <c r="X71" s="20"/>
      <c r="Y71" s="20">
        <v>59.41</v>
      </c>
      <c r="Z71" s="20"/>
      <c r="AA71" s="20"/>
      <c r="AB71" s="55"/>
      <c r="AC71" s="20"/>
      <c r="AD71" s="20"/>
      <c r="AE71" s="20"/>
      <c r="AF71" s="20"/>
      <c r="AG71" s="20"/>
      <c r="AH71" s="20"/>
      <c r="AI71" s="20"/>
      <c r="AJ71" s="20"/>
      <c r="AK71" s="20"/>
      <c r="AL71" s="20"/>
      <c r="AM71" s="20"/>
      <c r="AN71" s="20"/>
      <c r="AO71" s="20"/>
      <c r="AP71" s="20"/>
      <c r="AQ71" s="20"/>
      <c r="AR71" s="20"/>
      <c r="AS71" s="55"/>
      <c r="AT71" s="20"/>
      <c r="AU71" s="20">
        <v>0</v>
      </c>
      <c r="AV71" s="20"/>
      <c r="AW71" s="11">
        <f t="shared" si="245"/>
        <v>19.683153360249761</v>
      </c>
      <c r="AX71" s="11">
        <f t="shared" si="246"/>
        <v>0</v>
      </c>
      <c r="AY71" s="11">
        <f t="shared" si="247"/>
        <v>9.4124427981663317</v>
      </c>
      <c r="AZ71" s="11">
        <f t="shared" si="248"/>
        <v>0</v>
      </c>
      <c r="BA71" s="11">
        <f t="shared" si="249"/>
        <v>4.7515583919913666</v>
      </c>
      <c r="BB71" s="11">
        <f t="shared" si="250"/>
        <v>0</v>
      </c>
      <c r="BC71" s="11">
        <f t="shared" si="251"/>
        <v>0</v>
      </c>
      <c r="BD71" s="11">
        <f t="shared" si="252"/>
        <v>4.0706653653475993</v>
      </c>
      <c r="BE71" s="11">
        <f t="shared" si="253"/>
        <v>0</v>
      </c>
      <c r="BF71" s="11">
        <f t="shared" si="254"/>
        <v>0</v>
      </c>
      <c r="BG71" s="11">
        <f t="shared" si="255"/>
        <v>17.983405492523808</v>
      </c>
      <c r="BH71" s="11">
        <f t="shared" si="256"/>
        <v>1.5339777149593614</v>
      </c>
      <c r="BI71" s="11">
        <f t="shared" si="257"/>
        <v>0</v>
      </c>
      <c r="BJ71" s="56">
        <f t="shared" si="258"/>
        <v>0</v>
      </c>
      <c r="BK71" s="11">
        <f t="shared" si="259"/>
        <v>0</v>
      </c>
      <c r="BL71" s="34">
        <f t="shared" si="260"/>
        <v>0</v>
      </c>
      <c r="BM71" s="11">
        <f t="shared" si="261"/>
        <v>0</v>
      </c>
      <c r="BN71" s="11">
        <f t="shared" si="262"/>
        <v>0</v>
      </c>
      <c r="BO71" s="11">
        <f t="shared" si="263"/>
        <v>42.564796876761768</v>
      </c>
      <c r="BP71" s="11">
        <f t="shared" si="264"/>
        <v>0</v>
      </c>
      <c r="BQ71" s="54"/>
      <c r="BR71" s="56">
        <f t="shared" si="265"/>
        <v>0</v>
      </c>
      <c r="BS71" s="56">
        <f t="shared" si="266"/>
        <v>0</v>
      </c>
      <c r="BT71" s="56">
        <f t="shared" si="267"/>
        <v>0</v>
      </c>
      <c r="BU71" s="56">
        <f t="shared" si="268"/>
        <v>0</v>
      </c>
      <c r="BV71" s="56">
        <f t="shared" si="269"/>
        <v>0</v>
      </c>
      <c r="BW71" s="56">
        <f t="shared" si="270"/>
        <v>0</v>
      </c>
      <c r="BX71" s="56">
        <f t="shared" si="271"/>
        <v>0</v>
      </c>
      <c r="BY71" s="56">
        <f t="shared" si="272"/>
        <v>0</v>
      </c>
      <c r="BZ71" s="56">
        <f t="shared" si="273"/>
        <v>0</v>
      </c>
      <c r="CA71" s="56">
        <f t="shared" si="274"/>
        <v>0</v>
      </c>
      <c r="CB71" s="56">
        <f t="shared" si="275"/>
        <v>0</v>
      </c>
      <c r="CC71" s="56">
        <f t="shared" si="276"/>
        <v>0</v>
      </c>
      <c r="CD71" s="56">
        <f t="shared" si="277"/>
        <v>0</v>
      </c>
      <c r="CE71" s="56">
        <f t="shared" si="278"/>
        <v>0</v>
      </c>
      <c r="CF71" s="56">
        <f t="shared" si="279"/>
        <v>0</v>
      </c>
      <c r="CG71" s="56">
        <f t="shared" si="280"/>
        <v>0</v>
      </c>
      <c r="CH71" s="54"/>
      <c r="CI71" s="11"/>
      <c r="CJ71" s="12" t="e">
        <f t="shared" ca="1" si="281"/>
        <v>#NAME?</v>
      </c>
      <c r="CK71" s="16"/>
      <c r="CL71" s="60">
        <f t="shared" si="282"/>
        <v>42.114466309543516</v>
      </c>
      <c r="CM71" s="60">
        <f t="shared" si="283"/>
        <v>0</v>
      </c>
      <c r="CN71" s="60">
        <f t="shared" si="284"/>
        <v>17.786875713844911</v>
      </c>
      <c r="CO71" s="60">
        <f t="shared" si="285"/>
        <v>0</v>
      </c>
      <c r="CP71" s="60">
        <f t="shared" si="286"/>
        <v>0</v>
      </c>
      <c r="CQ71" s="60">
        <f t="shared" si="287"/>
        <v>6.1136732996928931</v>
      </c>
      <c r="CR71" s="60">
        <f t="shared" si="288"/>
        <v>6.1136732996928931</v>
      </c>
      <c r="CS71" s="60">
        <f t="shared" si="289"/>
        <v>0</v>
      </c>
      <c r="CT71" s="60">
        <f t="shared" si="290"/>
        <v>6.7511518203833152</v>
      </c>
      <c r="CU71" s="60">
        <f t="shared" si="291"/>
        <v>0</v>
      </c>
      <c r="CV71" s="60">
        <f t="shared" si="292"/>
        <v>0</v>
      </c>
      <c r="CW71" s="60">
        <f t="shared" si="293"/>
        <v>25.165792736758014</v>
      </c>
      <c r="CX71" s="60">
        <f t="shared" si="294"/>
        <v>2.0680401197773617</v>
      </c>
      <c r="CY71" s="60">
        <f t="shared" si="295"/>
        <v>0</v>
      </c>
      <c r="CZ71" s="60">
        <f t="shared" si="296"/>
        <v>0</v>
      </c>
      <c r="DA71" s="60">
        <f t="shared" si="297"/>
        <v>0</v>
      </c>
      <c r="DB71" s="60">
        <f t="shared" si="298"/>
        <v>0</v>
      </c>
      <c r="DC71" s="60">
        <f t="shared" si="299"/>
        <v>0</v>
      </c>
      <c r="DD71" s="60">
        <f t="shared" si="300"/>
        <v>0</v>
      </c>
      <c r="DE71" s="60">
        <f t="shared" si="301"/>
        <v>0</v>
      </c>
      <c r="DF71" s="55"/>
      <c r="DG71" s="60">
        <f t="shared" si="302"/>
        <v>0</v>
      </c>
      <c r="DH71" s="60">
        <f t="shared" si="303"/>
        <v>0</v>
      </c>
      <c r="DI71" s="60">
        <f t="shared" si="304"/>
        <v>0</v>
      </c>
      <c r="DJ71" s="60">
        <f t="shared" si="305"/>
        <v>0</v>
      </c>
      <c r="DK71" s="60">
        <f t="shared" si="306"/>
        <v>0</v>
      </c>
      <c r="DL71" s="60">
        <f t="shared" si="307"/>
        <v>0</v>
      </c>
      <c r="DM71" s="60">
        <f t="shared" si="308"/>
        <v>0</v>
      </c>
      <c r="DN71" s="60">
        <f t="shared" si="309"/>
        <v>0</v>
      </c>
      <c r="DO71" s="60">
        <f t="shared" si="310"/>
        <v>0</v>
      </c>
      <c r="DP71" s="60">
        <f t="shared" si="311"/>
        <v>0</v>
      </c>
      <c r="DQ71" s="60">
        <f t="shared" si="312"/>
        <v>0</v>
      </c>
      <c r="DR71" s="60">
        <f t="shared" si="313"/>
        <v>0</v>
      </c>
      <c r="DS71" s="60">
        <f t="shared" si="314"/>
        <v>0</v>
      </c>
      <c r="DT71" s="60">
        <f t="shared" si="315"/>
        <v>0</v>
      </c>
      <c r="DU71" s="60">
        <f t="shared" si="316"/>
        <v>0</v>
      </c>
      <c r="DV71" s="60">
        <f t="shared" si="317"/>
        <v>0</v>
      </c>
      <c r="DW71" s="60"/>
      <c r="DX71" s="60" t="e">
        <f t="shared" ca="1" si="318"/>
        <v>#NAME?</v>
      </c>
    </row>
    <row r="72" spans="1:128" s="19" customFormat="1" ht="16" customHeight="1">
      <c r="A72" s="18"/>
      <c r="B72" s="17" t="s">
        <v>436</v>
      </c>
      <c r="C72" s="16"/>
      <c r="D72" s="16"/>
      <c r="E72" s="16"/>
      <c r="F72" s="16"/>
      <c r="G72" s="16"/>
      <c r="H72" s="20">
        <v>17.440000000000001</v>
      </c>
      <c r="I72" s="20"/>
      <c r="J72" s="20">
        <v>11.71</v>
      </c>
      <c r="K72" s="20"/>
      <c r="L72" s="20"/>
      <c r="M72" s="20"/>
      <c r="N72" s="20"/>
      <c r="O72" s="20"/>
      <c r="P72" s="20"/>
      <c r="Q72" s="20"/>
      <c r="R72" s="20"/>
      <c r="S72" s="20"/>
      <c r="T72" s="20">
        <v>2.96</v>
      </c>
      <c r="U72" s="20"/>
      <c r="V72" s="20"/>
      <c r="W72" s="20"/>
      <c r="X72" s="20"/>
      <c r="Y72" s="20">
        <v>67.900000000000006</v>
      </c>
      <c r="Z72" s="20"/>
      <c r="AA72" s="20"/>
      <c r="AB72" s="55"/>
      <c r="AC72" s="20"/>
      <c r="AD72" s="20"/>
      <c r="AE72" s="20"/>
      <c r="AF72" s="20"/>
      <c r="AG72" s="20"/>
      <c r="AH72" s="20"/>
      <c r="AI72" s="20"/>
      <c r="AJ72" s="20"/>
      <c r="AK72" s="20"/>
      <c r="AL72" s="20"/>
      <c r="AM72" s="20"/>
      <c r="AN72" s="20"/>
      <c r="AO72" s="20"/>
      <c r="AP72" s="20"/>
      <c r="AQ72" s="20"/>
      <c r="AR72" s="20"/>
      <c r="AS72" s="55"/>
      <c r="AT72" s="20"/>
      <c r="AU72" s="20">
        <v>0</v>
      </c>
      <c r="AV72" s="20"/>
      <c r="AW72" s="11">
        <f t="shared" si="245"/>
        <v>24.395073563876853</v>
      </c>
      <c r="AX72" s="11">
        <f t="shared" si="246"/>
        <v>0</v>
      </c>
      <c r="AY72" s="11">
        <f t="shared" si="247"/>
        <v>15.736099913198338</v>
      </c>
      <c r="AZ72" s="11">
        <f t="shared" si="248"/>
        <v>0</v>
      </c>
      <c r="BA72" s="11">
        <f t="shared" si="249"/>
        <v>0</v>
      </c>
      <c r="BB72" s="11">
        <f t="shared" si="250"/>
        <v>0</v>
      </c>
      <c r="BC72" s="11">
        <f t="shared" si="251"/>
        <v>0</v>
      </c>
      <c r="BD72" s="11">
        <f t="shared" si="252"/>
        <v>0</v>
      </c>
      <c r="BE72" s="11">
        <f t="shared" si="253"/>
        <v>0</v>
      </c>
      <c r="BF72" s="11">
        <f t="shared" si="254"/>
        <v>0</v>
      </c>
      <c r="BG72" s="11">
        <f t="shared" si="255"/>
        <v>0</v>
      </c>
      <c r="BH72" s="11">
        <f t="shared" si="256"/>
        <v>0</v>
      </c>
      <c r="BI72" s="11">
        <f t="shared" si="257"/>
        <v>5.7639881225617708</v>
      </c>
      <c r="BJ72" s="56">
        <f t="shared" si="258"/>
        <v>0</v>
      </c>
      <c r="BK72" s="11">
        <f t="shared" si="259"/>
        <v>0</v>
      </c>
      <c r="BL72" s="34">
        <f t="shared" si="260"/>
        <v>0</v>
      </c>
      <c r="BM72" s="11">
        <f t="shared" si="261"/>
        <v>0</v>
      </c>
      <c r="BN72" s="11">
        <f t="shared" si="262"/>
        <v>0</v>
      </c>
      <c r="BO72" s="11">
        <f t="shared" si="263"/>
        <v>54.104838400363036</v>
      </c>
      <c r="BP72" s="11">
        <f t="shared" si="264"/>
        <v>0</v>
      </c>
      <c r="BQ72" s="54"/>
      <c r="BR72" s="56">
        <f t="shared" si="265"/>
        <v>0</v>
      </c>
      <c r="BS72" s="56">
        <f t="shared" si="266"/>
        <v>0</v>
      </c>
      <c r="BT72" s="56">
        <f t="shared" si="267"/>
        <v>0</v>
      </c>
      <c r="BU72" s="56">
        <f t="shared" si="268"/>
        <v>0</v>
      </c>
      <c r="BV72" s="56">
        <f t="shared" si="269"/>
        <v>0</v>
      </c>
      <c r="BW72" s="56">
        <f t="shared" si="270"/>
        <v>0</v>
      </c>
      <c r="BX72" s="56">
        <f t="shared" si="271"/>
        <v>0</v>
      </c>
      <c r="BY72" s="56">
        <f t="shared" si="272"/>
        <v>0</v>
      </c>
      <c r="BZ72" s="56">
        <f t="shared" si="273"/>
        <v>0</v>
      </c>
      <c r="CA72" s="56">
        <f t="shared" si="274"/>
        <v>0</v>
      </c>
      <c r="CB72" s="56">
        <f t="shared" si="275"/>
        <v>0</v>
      </c>
      <c r="CC72" s="56">
        <f t="shared" si="276"/>
        <v>0</v>
      </c>
      <c r="CD72" s="56">
        <f t="shared" si="277"/>
        <v>0</v>
      </c>
      <c r="CE72" s="56">
        <f t="shared" si="278"/>
        <v>0</v>
      </c>
      <c r="CF72" s="56">
        <f t="shared" si="279"/>
        <v>0</v>
      </c>
      <c r="CG72" s="56">
        <f t="shared" si="280"/>
        <v>0</v>
      </c>
      <c r="CH72" s="54"/>
      <c r="CI72" s="11"/>
      <c r="CJ72" s="12" t="e">
        <f t="shared" ca="1" si="281"/>
        <v>#NAME?</v>
      </c>
      <c r="CK72" s="16"/>
      <c r="CL72" s="60">
        <f t="shared" si="282"/>
        <v>58.728374842948263</v>
      </c>
      <c r="CM72" s="60">
        <f t="shared" si="283"/>
        <v>0</v>
      </c>
      <c r="CN72" s="60">
        <f t="shared" si="284"/>
        <v>33.458283030290104</v>
      </c>
      <c r="CO72" s="60">
        <f t="shared" si="285"/>
        <v>0</v>
      </c>
      <c r="CP72" s="60">
        <f t="shared" si="286"/>
        <v>0</v>
      </c>
      <c r="CQ72" s="60">
        <f t="shared" si="287"/>
        <v>0</v>
      </c>
      <c r="CR72" s="60">
        <f t="shared" si="288"/>
        <v>0</v>
      </c>
      <c r="CS72" s="60">
        <f t="shared" si="289"/>
        <v>0</v>
      </c>
      <c r="CT72" s="60">
        <f t="shared" si="290"/>
        <v>0</v>
      </c>
      <c r="CU72" s="60">
        <f t="shared" si="291"/>
        <v>0</v>
      </c>
      <c r="CV72" s="60">
        <f t="shared" si="292"/>
        <v>0</v>
      </c>
      <c r="CW72" s="60">
        <f t="shared" si="293"/>
        <v>0</v>
      </c>
      <c r="CX72" s="60">
        <f t="shared" si="294"/>
        <v>0</v>
      </c>
      <c r="CY72" s="60">
        <f t="shared" si="295"/>
        <v>7.8133421267616425</v>
      </c>
      <c r="CZ72" s="60">
        <f t="shared" si="296"/>
        <v>0</v>
      </c>
      <c r="DA72" s="60">
        <f t="shared" si="297"/>
        <v>0</v>
      </c>
      <c r="DB72" s="60">
        <f t="shared" si="298"/>
        <v>0</v>
      </c>
      <c r="DC72" s="60">
        <f t="shared" si="299"/>
        <v>0</v>
      </c>
      <c r="DD72" s="60">
        <f t="shared" si="300"/>
        <v>0</v>
      </c>
      <c r="DE72" s="60">
        <f t="shared" si="301"/>
        <v>0</v>
      </c>
      <c r="DF72" s="55"/>
      <c r="DG72" s="60">
        <f t="shared" si="302"/>
        <v>0</v>
      </c>
      <c r="DH72" s="60">
        <f t="shared" si="303"/>
        <v>0</v>
      </c>
      <c r="DI72" s="60">
        <f t="shared" si="304"/>
        <v>0</v>
      </c>
      <c r="DJ72" s="60">
        <f t="shared" si="305"/>
        <v>0</v>
      </c>
      <c r="DK72" s="60">
        <f t="shared" si="306"/>
        <v>0</v>
      </c>
      <c r="DL72" s="60">
        <f t="shared" si="307"/>
        <v>0</v>
      </c>
      <c r="DM72" s="60">
        <f t="shared" si="308"/>
        <v>0</v>
      </c>
      <c r="DN72" s="60">
        <f t="shared" si="309"/>
        <v>0</v>
      </c>
      <c r="DO72" s="60">
        <f t="shared" si="310"/>
        <v>0</v>
      </c>
      <c r="DP72" s="60">
        <f t="shared" si="311"/>
        <v>0</v>
      </c>
      <c r="DQ72" s="60">
        <f t="shared" si="312"/>
        <v>0</v>
      </c>
      <c r="DR72" s="60">
        <f t="shared" si="313"/>
        <v>0</v>
      </c>
      <c r="DS72" s="60">
        <f t="shared" si="314"/>
        <v>0</v>
      </c>
      <c r="DT72" s="60">
        <f t="shared" si="315"/>
        <v>0</v>
      </c>
      <c r="DU72" s="60">
        <f t="shared" si="316"/>
        <v>0</v>
      </c>
      <c r="DV72" s="60">
        <f t="shared" si="317"/>
        <v>0</v>
      </c>
      <c r="DW72" s="60"/>
      <c r="DX72" s="60" t="e">
        <f t="shared" ca="1" si="318"/>
        <v>#NAME?</v>
      </c>
    </row>
    <row r="73" spans="1:128" s="19" customFormat="1" ht="16" customHeight="1">
      <c r="A73" s="18"/>
      <c r="B73" s="17" t="s">
        <v>437</v>
      </c>
      <c r="C73" s="16"/>
      <c r="D73" s="16"/>
      <c r="E73" s="16"/>
      <c r="F73" s="16"/>
      <c r="G73" s="16"/>
      <c r="H73" s="20">
        <v>19.350000000000001</v>
      </c>
      <c r="I73" s="20"/>
      <c r="J73" s="20">
        <v>11.31</v>
      </c>
      <c r="K73" s="20"/>
      <c r="L73" s="20"/>
      <c r="M73" s="20"/>
      <c r="N73" s="20"/>
      <c r="O73" s="20"/>
      <c r="P73" s="20"/>
      <c r="Q73" s="20"/>
      <c r="R73" s="20">
        <v>0.63</v>
      </c>
      <c r="S73" s="20">
        <v>6.21</v>
      </c>
      <c r="T73" s="20">
        <v>1.93</v>
      </c>
      <c r="U73" s="20"/>
      <c r="V73" s="20"/>
      <c r="W73" s="20"/>
      <c r="X73" s="20"/>
      <c r="Y73" s="20">
        <v>60.1</v>
      </c>
      <c r="Z73" s="20"/>
      <c r="AA73" s="20"/>
      <c r="AB73" s="55"/>
      <c r="AC73" s="20"/>
      <c r="AD73" s="20"/>
      <c r="AE73" s="20"/>
      <c r="AF73" s="20"/>
      <c r="AG73" s="20"/>
      <c r="AH73" s="20">
        <v>0.47</v>
      </c>
      <c r="AI73" s="20"/>
      <c r="AJ73" s="20"/>
      <c r="AK73" s="20"/>
      <c r="AL73" s="20"/>
      <c r="AM73" s="20"/>
      <c r="AN73" s="20"/>
      <c r="AO73" s="20"/>
      <c r="AP73" s="20"/>
      <c r="AQ73" s="20"/>
      <c r="AR73" s="20"/>
      <c r="AS73" s="55"/>
      <c r="AT73" s="20"/>
      <c r="AU73" s="20">
        <v>0</v>
      </c>
      <c r="AV73" s="20"/>
      <c r="AW73" s="11">
        <f t="shared" si="245"/>
        <v>25.265024255421189</v>
      </c>
      <c r="AX73" s="11">
        <f t="shared" si="246"/>
        <v>0</v>
      </c>
      <c r="AY73" s="11">
        <f t="shared" si="247"/>
        <v>14.186847910342129</v>
      </c>
      <c r="AZ73" s="11">
        <f t="shared" si="248"/>
        <v>0</v>
      </c>
      <c r="BA73" s="11">
        <f t="shared" si="249"/>
        <v>0</v>
      </c>
      <c r="BB73" s="11">
        <f t="shared" si="250"/>
        <v>0</v>
      </c>
      <c r="BC73" s="11">
        <f t="shared" si="251"/>
        <v>0</v>
      </c>
      <c r="BD73" s="11">
        <f t="shared" si="252"/>
        <v>0</v>
      </c>
      <c r="BE73" s="11">
        <f t="shared" si="253"/>
        <v>0</v>
      </c>
      <c r="BF73" s="11">
        <f t="shared" si="254"/>
        <v>0</v>
      </c>
      <c r="BG73" s="11">
        <f t="shared" si="255"/>
        <v>1.1738245291286851</v>
      </c>
      <c r="BH73" s="11">
        <f t="shared" si="256"/>
        <v>6.6371678056823287</v>
      </c>
      <c r="BI73" s="11">
        <f t="shared" si="257"/>
        <v>3.508098458931983</v>
      </c>
      <c r="BJ73" s="56">
        <f t="shared" si="258"/>
        <v>0</v>
      </c>
      <c r="BK73" s="11">
        <f t="shared" si="259"/>
        <v>0</v>
      </c>
      <c r="BL73" s="34">
        <f t="shared" si="260"/>
        <v>0</v>
      </c>
      <c r="BM73" s="11">
        <f t="shared" si="261"/>
        <v>0</v>
      </c>
      <c r="BN73" s="11">
        <f t="shared" si="262"/>
        <v>0</v>
      </c>
      <c r="BO73" s="11">
        <f t="shared" si="263"/>
        <v>44.701685695272907</v>
      </c>
      <c r="BP73" s="11">
        <f t="shared" si="264"/>
        <v>0</v>
      </c>
      <c r="BQ73" s="54"/>
      <c r="BR73" s="56">
        <f t="shared" si="265"/>
        <v>0</v>
      </c>
      <c r="BS73" s="56">
        <f t="shared" si="266"/>
        <v>0</v>
      </c>
      <c r="BT73" s="56">
        <f t="shared" si="267"/>
        <v>0</v>
      </c>
      <c r="BU73" s="56">
        <f t="shared" si="268"/>
        <v>0</v>
      </c>
      <c r="BV73" s="56">
        <f t="shared" si="269"/>
        <v>0</v>
      </c>
      <c r="BW73" s="56">
        <f t="shared" si="270"/>
        <v>4.5273513452207812</v>
      </c>
      <c r="BX73" s="56">
        <f t="shared" si="271"/>
        <v>0</v>
      </c>
      <c r="BY73" s="56">
        <f t="shared" si="272"/>
        <v>0</v>
      </c>
      <c r="BZ73" s="56">
        <f t="shared" si="273"/>
        <v>0</v>
      </c>
      <c r="CA73" s="56">
        <f t="shared" si="274"/>
        <v>0</v>
      </c>
      <c r="CB73" s="56">
        <f t="shared" si="275"/>
        <v>0</v>
      </c>
      <c r="CC73" s="56">
        <f t="shared" si="276"/>
        <v>0</v>
      </c>
      <c r="CD73" s="56">
        <f t="shared" si="277"/>
        <v>0</v>
      </c>
      <c r="CE73" s="56">
        <f t="shared" si="278"/>
        <v>0</v>
      </c>
      <c r="CF73" s="56">
        <f t="shared" si="279"/>
        <v>0</v>
      </c>
      <c r="CG73" s="56">
        <f t="shared" si="280"/>
        <v>0</v>
      </c>
      <c r="CH73" s="54"/>
      <c r="CI73" s="11"/>
      <c r="CJ73" s="12" t="e">
        <f t="shared" ca="1" si="281"/>
        <v>#NAME?</v>
      </c>
      <c r="CK73" s="16"/>
      <c r="CL73" s="60">
        <f t="shared" si="282"/>
        <v>53.755905752623875</v>
      </c>
      <c r="CM73" s="60">
        <f t="shared" si="283"/>
        <v>0</v>
      </c>
      <c r="CN73" s="60">
        <f t="shared" si="284"/>
        <v>26.65956584204746</v>
      </c>
      <c r="CO73" s="60">
        <f t="shared" si="285"/>
        <v>0</v>
      </c>
      <c r="CP73" s="60">
        <f t="shared" si="286"/>
        <v>0</v>
      </c>
      <c r="CQ73" s="60">
        <f t="shared" si="287"/>
        <v>0</v>
      </c>
      <c r="CR73" s="60">
        <f t="shared" si="288"/>
        <v>0</v>
      </c>
      <c r="CS73" s="60">
        <f t="shared" si="289"/>
        <v>0</v>
      </c>
      <c r="CT73" s="60">
        <f t="shared" si="290"/>
        <v>0</v>
      </c>
      <c r="CU73" s="60">
        <f t="shared" si="291"/>
        <v>0</v>
      </c>
      <c r="CV73" s="60">
        <f t="shared" si="292"/>
        <v>0</v>
      </c>
      <c r="CW73" s="60">
        <f t="shared" si="293"/>
        <v>1.6334720142365977</v>
      </c>
      <c r="CX73" s="60">
        <f t="shared" si="294"/>
        <v>8.8980029703488519</v>
      </c>
      <c r="CY73" s="60">
        <f t="shared" si="295"/>
        <v>4.2028718818929658</v>
      </c>
      <c r="CZ73" s="60">
        <f t="shared" si="296"/>
        <v>0</v>
      </c>
      <c r="DA73" s="60">
        <f t="shared" si="297"/>
        <v>0</v>
      </c>
      <c r="DB73" s="60">
        <f t="shared" si="298"/>
        <v>0</v>
      </c>
      <c r="DC73" s="60">
        <f t="shared" si="299"/>
        <v>0</v>
      </c>
      <c r="DD73" s="60">
        <f t="shared" si="300"/>
        <v>0</v>
      </c>
      <c r="DE73" s="60">
        <f t="shared" si="301"/>
        <v>0</v>
      </c>
      <c r="DF73" s="55"/>
      <c r="DG73" s="60">
        <f t="shared" si="302"/>
        <v>0</v>
      </c>
      <c r="DH73" s="60">
        <f t="shared" si="303"/>
        <v>0</v>
      </c>
      <c r="DI73" s="60">
        <f t="shared" si="304"/>
        <v>0</v>
      </c>
      <c r="DJ73" s="60">
        <f t="shared" si="305"/>
        <v>0</v>
      </c>
      <c r="DK73" s="60">
        <f t="shared" si="306"/>
        <v>0</v>
      </c>
      <c r="DL73" s="60">
        <f t="shared" si="307"/>
        <v>4.8501815388502312</v>
      </c>
      <c r="DM73" s="60">
        <f t="shared" si="308"/>
        <v>0</v>
      </c>
      <c r="DN73" s="60">
        <f t="shared" si="309"/>
        <v>0</v>
      </c>
      <c r="DO73" s="60">
        <f t="shared" si="310"/>
        <v>0</v>
      </c>
      <c r="DP73" s="60">
        <f t="shared" si="311"/>
        <v>0</v>
      </c>
      <c r="DQ73" s="60">
        <f t="shared" si="312"/>
        <v>0</v>
      </c>
      <c r="DR73" s="60">
        <f t="shared" si="313"/>
        <v>0</v>
      </c>
      <c r="DS73" s="60">
        <f t="shared" si="314"/>
        <v>0</v>
      </c>
      <c r="DT73" s="60">
        <f t="shared" si="315"/>
        <v>0</v>
      </c>
      <c r="DU73" s="60">
        <f t="shared" si="316"/>
        <v>0</v>
      </c>
      <c r="DV73" s="60">
        <f t="shared" si="317"/>
        <v>0</v>
      </c>
      <c r="DW73" s="60"/>
      <c r="DX73" s="60" t="e">
        <f t="shared" ca="1" si="318"/>
        <v>#NAME?</v>
      </c>
    </row>
    <row r="74" spans="1:128" s="19" customFormat="1" ht="16" customHeight="1">
      <c r="A74" s="18"/>
      <c r="B74" s="17" t="s">
        <v>438</v>
      </c>
      <c r="C74" s="16"/>
      <c r="D74" s="16"/>
      <c r="E74" s="16"/>
      <c r="F74" s="16"/>
      <c r="G74" s="16"/>
      <c r="H74" s="20">
        <v>17.11</v>
      </c>
      <c r="I74" s="20"/>
      <c r="J74" s="20"/>
      <c r="K74" s="20"/>
      <c r="L74" s="20"/>
      <c r="M74" s="20"/>
      <c r="N74" s="20"/>
      <c r="O74" s="20"/>
      <c r="P74" s="20"/>
      <c r="Q74" s="20"/>
      <c r="R74" s="20"/>
      <c r="S74" s="20"/>
      <c r="T74" s="20"/>
      <c r="U74" s="20"/>
      <c r="V74" s="20"/>
      <c r="W74" s="20"/>
      <c r="X74" s="20"/>
      <c r="Y74" s="20">
        <v>67.760000000000005</v>
      </c>
      <c r="Z74" s="20"/>
      <c r="AA74" s="20"/>
      <c r="AB74" s="55"/>
      <c r="AC74" s="20"/>
      <c r="AD74" s="20"/>
      <c r="AE74" s="20"/>
      <c r="AF74" s="20"/>
      <c r="AG74" s="20"/>
      <c r="AH74" s="20">
        <v>5.21</v>
      </c>
      <c r="AI74" s="20"/>
      <c r="AJ74" s="20">
        <v>9.92</v>
      </c>
      <c r="AK74" s="20"/>
      <c r="AL74" s="20"/>
      <c r="AM74" s="20"/>
      <c r="AN74" s="20"/>
      <c r="AO74" s="20"/>
      <c r="AP74" s="20"/>
      <c r="AQ74" s="20"/>
      <c r="AR74" s="20"/>
      <c r="AS74" s="55"/>
      <c r="AT74" s="20"/>
      <c r="AU74" s="20">
        <v>0</v>
      </c>
      <c r="AV74" s="20"/>
      <c r="AW74" s="11">
        <f t="shared" si="245"/>
        <v>12.573895770787193</v>
      </c>
      <c r="AX74" s="11">
        <f t="shared" si="246"/>
        <v>0</v>
      </c>
      <c r="AY74" s="11">
        <f t="shared" si="247"/>
        <v>0</v>
      </c>
      <c r="AZ74" s="11">
        <f t="shared" si="248"/>
        <v>0</v>
      </c>
      <c r="BA74" s="11">
        <f t="shared" si="249"/>
        <v>0</v>
      </c>
      <c r="BB74" s="11">
        <f t="shared" si="250"/>
        <v>0</v>
      </c>
      <c r="BC74" s="11">
        <f t="shared" si="251"/>
        <v>0</v>
      </c>
      <c r="BD74" s="11">
        <f t="shared" si="252"/>
        <v>0</v>
      </c>
      <c r="BE74" s="11">
        <f t="shared" si="253"/>
        <v>0</v>
      </c>
      <c r="BF74" s="11">
        <f t="shared" si="254"/>
        <v>0</v>
      </c>
      <c r="BG74" s="11">
        <f t="shared" si="255"/>
        <v>0</v>
      </c>
      <c r="BH74" s="11">
        <f t="shared" si="256"/>
        <v>0</v>
      </c>
      <c r="BI74" s="11">
        <f t="shared" si="257"/>
        <v>0</v>
      </c>
      <c r="BJ74" s="56">
        <f t="shared" si="258"/>
        <v>0</v>
      </c>
      <c r="BK74" s="11">
        <f t="shared" si="259"/>
        <v>0</v>
      </c>
      <c r="BL74" s="34">
        <f t="shared" si="260"/>
        <v>0</v>
      </c>
      <c r="BM74" s="11">
        <f t="shared" si="261"/>
        <v>0</v>
      </c>
      <c r="BN74" s="11">
        <f t="shared" si="262"/>
        <v>0</v>
      </c>
      <c r="BO74" s="11">
        <f t="shared" si="263"/>
        <v>28.366380379040695</v>
      </c>
      <c r="BP74" s="11">
        <f t="shared" si="264"/>
        <v>0</v>
      </c>
      <c r="BQ74" s="54"/>
      <c r="BR74" s="56">
        <f t="shared" si="265"/>
        <v>0</v>
      </c>
      <c r="BS74" s="56">
        <f t="shared" si="266"/>
        <v>0</v>
      </c>
      <c r="BT74" s="56">
        <f t="shared" si="267"/>
        <v>0</v>
      </c>
      <c r="BU74" s="56">
        <f t="shared" si="268"/>
        <v>0</v>
      </c>
      <c r="BV74" s="56">
        <f t="shared" si="269"/>
        <v>0</v>
      </c>
      <c r="BW74" s="56">
        <f t="shared" si="270"/>
        <v>28.246533722756812</v>
      </c>
      <c r="BX74" s="56">
        <f t="shared" si="271"/>
        <v>0</v>
      </c>
      <c r="BY74" s="56">
        <f t="shared" si="272"/>
        <v>30.813190127415293</v>
      </c>
      <c r="BZ74" s="56">
        <f t="shared" si="273"/>
        <v>0</v>
      </c>
      <c r="CA74" s="56">
        <f t="shared" si="274"/>
        <v>0</v>
      </c>
      <c r="CB74" s="56">
        <f t="shared" si="275"/>
        <v>0</v>
      </c>
      <c r="CC74" s="56">
        <f t="shared" si="276"/>
        <v>0</v>
      </c>
      <c r="CD74" s="56">
        <f t="shared" si="277"/>
        <v>0</v>
      </c>
      <c r="CE74" s="56">
        <f t="shared" si="278"/>
        <v>0</v>
      </c>
      <c r="CF74" s="56">
        <f t="shared" si="279"/>
        <v>0</v>
      </c>
      <c r="CG74" s="56">
        <f t="shared" si="280"/>
        <v>0</v>
      </c>
      <c r="CH74" s="54"/>
      <c r="CI74" s="11"/>
      <c r="CJ74" s="12" t="e">
        <f t="shared" ca="1" si="281"/>
        <v>#NAME?</v>
      </c>
      <c r="CK74" s="16"/>
      <c r="CL74" s="60">
        <f t="shared" si="282"/>
        <v>27.892671471885265</v>
      </c>
      <c r="CM74" s="60">
        <f t="shared" si="283"/>
        <v>0</v>
      </c>
      <c r="CN74" s="60">
        <f t="shared" si="284"/>
        <v>0</v>
      </c>
      <c r="CO74" s="60">
        <f t="shared" si="285"/>
        <v>0</v>
      </c>
      <c r="CP74" s="60">
        <f t="shared" si="286"/>
        <v>0</v>
      </c>
      <c r="CQ74" s="60">
        <f t="shared" si="287"/>
        <v>0</v>
      </c>
      <c r="CR74" s="60">
        <f t="shared" si="288"/>
        <v>0</v>
      </c>
      <c r="CS74" s="60">
        <f t="shared" si="289"/>
        <v>0</v>
      </c>
      <c r="CT74" s="60">
        <f t="shared" si="290"/>
        <v>0</v>
      </c>
      <c r="CU74" s="60">
        <f t="shared" si="291"/>
        <v>0</v>
      </c>
      <c r="CV74" s="60">
        <f t="shared" si="292"/>
        <v>0</v>
      </c>
      <c r="CW74" s="60">
        <f t="shared" si="293"/>
        <v>0</v>
      </c>
      <c r="CX74" s="60">
        <f t="shared" si="294"/>
        <v>0</v>
      </c>
      <c r="CY74" s="60">
        <f t="shared" si="295"/>
        <v>0</v>
      </c>
      <c r="CZ74" s="60">
        <f t="shared" si="296"/>
        <v>0</v>
      </c>
      <c r="DA74" s="60">
        <f t="shared" si="297"/>
        <v>0</v>
      </c>
      <c r="DB74" s="60">
        <f t="shared" si="298"/>
        <v>0</v>
      </c>
      <c r="DC74" s="60">
        <f t="shared" si="299"/>
        <v>0</v>
      </c>
      <c r="DD74" s="60">
        <f t="shared" si="300"/>
        <v>0</v>
      </c>
      <c r="DE74" s="60">
        <f t="shared" si="301"/>
        <v>0</v>
      </c>
      <c r="DF74" s="55"/>
      <c r="DG74" s="60">
        <f t="shared" si="302"/>
        <v>0</v>
      </c>
      <c r="DH74" s="60">
        <f t="shared" si="303"/>
        <v>0</v>
      </c>
      <c r="DI74" s="60">
        <f t="shared" si="304"/>
        <v>0</v>
      </c>
      <c r="DJ74" s="60">
        <f t="shared" si="305"/>
        <v>0</v>
      </c>
      <c r="DK74" s="60">
        <f t="shared" si="306"/>
        <v>0</v>
      </c>
      <c r="DL74" s="60">
        <f t="shared" si="307"/>
        <v>31.549519345487226</v>
      </c>
      <c r="DM74" s="60">
        <f t="shared" si="308"/>
        <v>0</v>
      </c>
      <c r="DN74" s="60">
        <f t="shared" si="309"/>
        <v>40.557809182627501</v>
      </c>
      <c r="DO74" s="60">
        <f t="shared" si="310"/>
        <v>0</v>
      </c>
      <c r="DP74" s="60">
        <f t="shared" si="311"/>
        <v>0</v>
      </c>
      <c r="DQ74" s="60">
        <f t="shared" si="312"/>
        <v>0</v>
      </c>
      <c r="DR74" s="60">
        <f t="shared" si="313"/>
        <v>0</v>
      </c>
      <c r="DS74" s="60">
        <f t="shared" si="314"/>
        <v>0</v>
      </c>
      <c r="DT74" s="60">
        <f t="shared" si="315"/>
        <v>0</v>
      </c>
      <c r="DU74" s="60">
        <f t="shared" si="316"/>
        <v>0</v>
      </c>
      <c r="DV74" s="60">
        <f t="shared" si="317"/>
        <v>0</v>
      </c>
      <c r="DW74" s="60"/>
      <c r="DX74" s="60" t="e">
        <f t="shared" ca="1" si="318"/>
        <v>#NAME?</v>
      </c>
    </row>
    <row r="75" spans="1:128" s="19" customFormat="1" ht="16" customHeight="1">
      <c r="A75" s="18"/>
      <c r="B75" s="17"/>
      <c r="C75" s="16"/>
      <c r="D75" s="16"/>
      <c r="E75" s="16"/>
      <c r="F75" s="16"/>
      <c r="G75" s="16"/>
      <c r="H75" s="20"/>
      <c r="I75" s="20"/>
      <c r="J75" s="20"/>
      <c r="K75" s="20"/>
      <c r="L75" s="20"/>
      <c r="M75" s="20"/>
      <c r="N75" s="20"/>
      <c r="O75" s="20"/>
      <c r="P75" s="20"/>
      <c r="Q75" s="20"/>
      <c r="R75" s="20"/>
      <c r="S75" s="20"/>
      <c r="T75" s="20"/>
      <c r="U75" s="20"/>
      <c r="V75" s="20"/>
      <c r="W75" s="20"/>
      <c r="X75" s="20"/>
      <c r="Y75" s="20"/>
      <c r="Z75" s="20"/>
      <c r="AA75" s="20"/>
      <c r="AB75" s="55"/>
      <c r="AC75" s="20"/>
      <c r="AD75" s="20"/>
      <c r="AE75" s="20"/>
      <c r="AF75" s="20"/>
      <c r="AG75" s="20"/>
      <c r="AH75" s="20"/>
      <c r="AI75" s="20"/>
      <c r="AJ75" s="20"/>
      <c r="AK75" s="20"/>
      <c r="AL75" s="20"/>
      <c r="AM75" s="20"/>
      <c r="AN75" s="20"/>
      <c r="AO75" s="20"/>
      <c r="AP75" s="20"/>
      <c r="AQ75" s="20"/>
      <c r="AR75" s="20"/>
      <c r="AS75" s="55"/>
      <c r="AT75"/>
      <c r="AU75" s="41"/>
      <c r="AV75" s="16"/>
      <c r="AW75" s="16"/>
      <c r="AX75" s="16"/>
      <c r="AY75" s="16"/>
      <c r="AZ75" s="16"/>
      <c r="BA75" s="16"/>
      <c r="BB75" s="16"/>
      <c r="BC75" s="16"/>
      <c r="BD75" s="16"/>
      <c r="BE75" s="16"/>
      <c r="BF75" s="16"/>
      <c r="BG75" s="16"/>
      <c r="BH75" s="16"/>
      <c r="BI75"/>
      <c r="BJ75"/>
      <c r="BK75"/>
      <c r="BL75"/>
      <c r="BM75"/>
      <c r="BN75"/>
      <c r="BO75"/>
      <c r="BP75"/>
      <c r="BQ75" s="55"/>
      <c r="BR75"/>
      <c r="BS75"/>
      <c r="BT75"/>
      <c r="BU75"/>
      <c r="BV75"/>
      <c r="BW75"/>
      <c r="BX75"/>
      <c r="BY75"/>
      <c r="BZ75"/>
      <c r="CA75"/>
      <c r="CB75"/>
      <c r="CC75"/>
      <c r="CD75"/>
      <c r="CE75"/>
      <c r="CF75"/>
      <c r="CH75" s="55"/>
      <c r="CI75"/>
      <c r="CJ75" s="16"/>
      <c r="CK75" s="16"/>
      <c r="CL75" s="111"/>
      <c r="CM75" s="28"/>
      <c r="CN75" s="111"/>
      <c r="CO75" s="28"/>
      <c r="CP75" s="28"/>
      <c r="CQ75" s="111"/>
      <c r="CR75" s="28"/>
      <c r="CS75" s="28"/>
      <c r="CT75" s="111"/>
      <c r="CU75" s="28"/>
      <c r="CV75" s="28"/>
      <c r="CW75" s="111"/>
      <c r="CX75" s="111"/>
      <c r="CY75" s="111"/>
      <c r="CZ75" s="111"/>
      <c r="DA75" s="28"/>
      <c r="DB75" s="28"/>
      <c r="DC75" s="28"/>
      <c r="DD75" s="28"/>
      <c r="DF75" s="55"/>
      <c r="DL75" s="112"/>
      <c r="DN75" s="112"/>
      <c r="DX75" s="28"/>
    </row>
    <row r="76" spans="1:128" s="19" customFormat="1" ht="16" customHeight="1">
      <c r="A76" s="18"/>
      <c r="B76" s="17"/>
      <c r="C76" s="16"/>
      <c r="D76" s="16"/>
      <c r="E76" s="16"/>
      <c r="F76" s="16"/>
      <c r="G76" s="16"/>
      <c r="H76" s="20"/>
      <c r="I76" s="20"/>
      <c r="J76" s="20"/>
      <c r="K76" s="20"/>
      <c r="L76" s="20"/>
      <c r="M76" s="20"/>
      <c r="N76" s="20"/>
      <c r="O76" s="20"/>
      <c r="P76" s="20"/>
      <c r="Q76" s="20"/>
      <c r="R76" s="20"/>
      <c r="S76" s="20"/>
      <c r="T76" s="20"/>
      <c r="U76" s="20"/>
      <c r="V76" s="20"/>
      <c r="W76" s="20"/>
      <c r="X76" s="20"/>
      <c r="Y76" s="20"/>
      <c r="Z76" s="20"/>
      <c r="AA76" s="20"/>
      <c r="AB76" s="55"/>
      <c r="AC76" s="20"/>
      <c r="AD76" s="20"/>
      <c r="AE76" s="20"/>
      <c r="AF76" s="20"/>
      <c r="AG76" s="20"/>
      <c r="AH76" s="20"/>
      <c r="AI76" s="20"/>
      <c r="AJ76" s="20"/>
      <c r="AK76" s="20"/>
      <c r="AL76" s="20"/>
      <c r="AM76" s="20"/>
      <c r="AN76" s="20"/>
      <c r="AO76" s="20"/>
      <c r="AP76" s="20"/>
      <c r="AQ76" s="20"/>
      <c r="AR76" s="20"/>
      <c r="AS76" s="55"/>
      <c r="AT76"/>
      <c r="AU76" s="41"/>
      <c r="AV76" s="16"/>
      <c r="AW76" s="16"/>
      <c r="AX76" s="16"/>
      <c r="AY76" s="16"/>
      <c r="AZ76" s="16"/>
      <c r="BA76" s="16"/>
      <c r="BB76" s="16"/>
      <c r="BC76" s="16"/>
      <c r="BD76" s="16"/>
      <c r="BE76" s="16"/>
      <c r="BF76" s="16"/>
      <c r="BG76" s="16"/>
      <c r="BH76" s="16"/>
      <c r="BI76"/>
      <c r="BJ76"/>
      <c r="BK76"/>
      <c r="BL76"/>
      <c r="BM76"/>
      <c r="BN76"/>
      <c r="BO76"/>
      <c r="BP76"/>
      <c r="BQ76" s="55"/>
      <c r="BR76"/>
      <c r="BS76"/>
      <c r="BT76"/>
      <c r="BU76"/>
      <c r="BV76"/>
      <c r="BW76"/>
      <c r="BX76"/>
      <c r="BY76"/>
      <c r="BZ76"/>
      <c r="CA76"/>
      <c r="CB76"/>
      <c r="CC76"/>
      <c r="CD76"/>
      <c r="CE76"/>
      <c r="CF76"/>
      <c r="CH76" s="55"/>
      <c r="CI76"/>
      <c r="CJ76" s="16"/>
      <c r="CK76" s="16"/>
      <c r="CL76" s="110"/>
      <c r="CM76" s="60"/>
      <c r="CN76" s="110"/>
      <c r="CO76" s="60"/>
      <c r="CP76" s="60"/>
      <c r="CQ76" s="110"/>
      <c r="CR76" s="60"/>
      <c r="CS76" s="60"/>
      <c r="CT76" s="110"/>
      <c r="CU76" s="60"/>
      <c r="CV76" s="60"/>
      <c r="CW76" s="110"/>
      <c r="CX76" s="110"/>
      <c r="CY76" s="110"/>
      <c r="CZ76" s="110"/>
      <c r="DA76" s="60"/>
      <c r="DB76" s="60"/>
      <c r="DC76" s="60"/>
      <c r="DD76" s="60"/>
      <c r="DE76" s="60"/>
      <c r="DF76" s="55"/>
      <c r="DG76" s="60"/>
      <c r="DH76" s="60"/>
      <c r="DI76" s="60"/>
      <c r="DJ76" s="60"/>
      <c r="DK76" s="60"/>
      <c r="DL76" s="110"/>
      <c r="DM76" s="60"/>
      <c r="DN76" s="110"/>
      <c r="DO76" s="60"/>
      <c r="DX76" s="28"/>
    </row>
    <row r="77" spans="1:128" s="19" customFormat="1" ht="16" customHeight="1">
      <c r="A77" s="18"/>
      <c r="B77" s="108" t="s">
        <v>439</v>
      </c>
      <c r="C77" s="109" t="s">
        <v>461</v>
      </c>
      <c r="D77" s="16"/>
      <c r="E77" s="16"/>
      <c r="F77" s="16"/>
      <c r="G77" s="16"/>
      <c r="H77" s="20">
        <v>6.1025752863914944</v>
      </c>
      <c r="I77" s="20">
        <v>0</v>
      </c>
      <c r="J77" s="20">
        <v>0.51973074959058441</v>
      </c>
      <c r="K77" s="20">
        <v>0</v>
      </c>
      <c r="L77" s="20">
        <v>0.28598429933679587</v>
      </c>
      <c r="M77" s="20"/>
      <c r="N77" s="20">
        <v>0</v>
      </c>
      <c r="O77" s="20">
        <v>1.0577692545110984</v>
      </c>
      <c r="P77" s="20">
        <v>0</v>
      </c>
      <c r="Q77" s="20">
        <v>0</v>
      </c>
      <c r="R77" s="20">
        <v>10.156705941891492</v>
      </c>
      <c r="S77" s="20">
        <v>0.77940978455891141</v>
      </c>
      <c r="T77" s="20">
        <v>0.18929465695863884</v>
      </c>
      <c r="U77" s="20">
        <v>2.1505264221857696</v>
      </c>
      <c r="V77" s="20">
        <v>0</v>
      </c>
      <c r="W77" s="20">
        <v>0</v>
      </c>
      <c r="X77" s="20">
        <v>0</v>
      </c>
      <c r="Y77" s="20">
        <v>68.001849807262616</v>
      </c>
      <c r="Z77" s="20">
        <v>0</v>
      </c>
      <c r="AA77" s="20">
        <v>0</v>
      </c>
      <c r="AB77" s="55"/>
      <c r="AC77" s="20">
        <v>0</v>
      </c>
      <c r="AD77" s="20">
        <v>0</v>
      </c>
      <c r="AE77" s="20">
        <v>0</v>
      </c>
      <c r="AF77" s="20">
        <v>0</v>
      </c>
      <c r="AG77" s="20">
        <v>0</v>
      </c>
      <c r="AH77" s="20">
        <v>9.0859360013310386</v>
      </c>
      <c r="AI77" s="20">
        <v>0</v>
      </c>
      <c r="AJ77" s="20">
        <v>1.6702177959815687</v>
      </c>
      <c r="AK77" s="20">
        <v>0</v>
      </c>
      <c r="AL77" s="20">
        <v>0</v>
      </c>
      <c r="AM77" s="20">
        <v>0</v>
      </c>
      <c r="AN77" s="20">
        <v>0</v>
      </c>
      <c r="AO77" s="20">
        <v>0</v>
      </c>
      <c r="AP77" s="20">
        <v>0</v>
      </c>
      <c r="AQ77" s="20">
        <v>0</v>
      </c>
      <c r="AR77" s="20">
        <v>0</v>
      </c>
      <c r="AS77" s="55"/>
      <c r="AT77"/>
      <c r="AU77" s="20">
        <v>0</v>
      </c>
      <c r="AV77" s="20"/>
      <c r="AW77" s="11">
        <f t="shared" ref="AW77" si="319">28.0855*H77*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4.4004400440044007</v>
      </c>
      <c r="AX77" s="11">
        <f t="shared" ref="AX77" si="320">I77*47.867*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AY77" s="11">
        <f t="shared" ref="AY77" si="321">J77*26.981539*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0.36003600360035998</v>
      </c>
      <c r="AZ77" s="11">
        <f t="shared" ref="AZ77" si="322">K77*51.9961*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A77" s="11">
        <f t="shared" ref="BA77" si="323">L77*55.845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0.41004100410041</v>
      </c>
      <c r="BB77" s="11">
        <f t="shared" ref="BB77" si="324">M78*55.845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C77" s="11">
        <f t="shared" ref="BC77" si="325">N77*54.938044*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D77" s="11">
        <f t="shared" ref="BD77" si="326">O77*24.305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0.66006600660066017</v>
      </c>
      <c r="BE77" s="11">
        <f t="shared" ref="BE77" si="327">P77*58.6934*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F77" s="11">
        <f t="shared" ref="BF77" si="328">Q77*65.38*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G77" s="11">
        <f t="shared" ref="BG77" si="329">R77*40.078*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10.451045104510451</v>
      </c>
      <c r="BH77" s="11">
        <f t="shared" ref="BH77" si="330">S77*22.989769*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0.46004600460045997</v>
      </c>
      <c r="BI77" s="11">
        <f t="shared" ref="BI77" si="331">T77*39.0983*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0.19001900190019</v>
      </c>
      <c r="BJ77" s="56">
        <f t="shared" ref="BJ77" si="332">U77*30.973762*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1.7101710171017099</v>
      </c>
      <c r="BK77" s="11">
        <f t="shared" ref="BK77" si="333">V77*32.065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L77" s="34">
        <f t="shared" ref="BL77" si="334">W77*18.9984*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M77" s="11">
        <f t="shared" ref="BM77" si="335">X77*35.453*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N77" s="11">
        <f t="shared" ref="BN77" si="336">AA77*12.011*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O77" s="11">
        <f t="shared" ref="BO77" si="337">Y77*15.999*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27.932793279327935</v>
      </c>
      <c r="BP77" s="11">
        <f t="shared" ref="BP77" si="338">Z77*1.00784*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Q77" s="54"/>
      <c r="BR77" s="56">
        <f t="shared" ref="BR77" si="339">AC77*58.933195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S77" s="56">
        <f t="shared" ref="BS77" si="340">AD77*63.546*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T77" s="56">
        <f t="shared" ref="BT77" si="341">AE77*9.012182*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U77" s="56">
        <f t="shared" ref="BU77" si="342">AF77*137.327*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V77" s="56">
        <f t="shared" ref="BV77" si="343">AG77*87.62*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W77" s="56">
        <f t="shared" ref="BW77" si="344">AH77*207.2*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48.334833483348326</v>
      </c>
      <c r="BX77" s="56">
        <f t="shared" ref="BX77" si="345">AI77*50.9415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BY77" s="56">
        <f t="shared" ref="BY77" si="346">AJ77*118.71*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5.0905090509050908</v>
      </c>
      <c r="BZ77" s="56">
        <f t="shared" ref="BZ77" si="347">AK77*91.224*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CA77" s="56">
        <f t="shared" ref="CA77" si="348">AL77*88.90585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CB77" s="56">
        <f t="shared" ref="CB77" si="349">AM77*95.95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CC77" s="56">
        <f t="shared" ref="CC77" si="350">AN77*183.84*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CD77" s="56">
        <f t="shared" ref="CD77" si="351">AO77*74.9216*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CE77" s="56">
        <f t="shared" ref="CE77" si="352">AP77*78.96*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CF77" s="56">
        <f t="shared" ref="CF77" si="353">AQ77*121.75*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CG77" s="56">
        <f t="shared" ref="CG77" si="354">AR77*127.6*100/(H77*28.0855+I77*47.867+J77*26.981539+K77*51.9961+L77*55.845+M77*55.845+N77*54.938044+O77*24.305+P77*58.6934+Q77*65.38+R77*40.078+S77*22.989769+T77*39.0983+U77*30.973762+AC77*58.933195+AD77*63.546+AE77*9.012182+AF77*137.327+AG77*87.62+AH77*207.2+AI77*50.9415+AJ77*118.71+AK77*91.224+AL77*88.90585+AM77*95.95+AN77*183.84+AO77*74.9216+W77*18.9984+X77*35.453+Y77*15.999+V77*32.065+Z77*1.00784+AA77*12.011+AP77*78.96+AQ77*121.75+AR77*127.6)</f>
        <v>0</v>
      </c>
      <c r="CH77" s="54"/>
      <c r="CI77" s="11"/>
      <c r="CJ77" s="12" t="e">
        <f t="shared" ref="CJ77" ca="1" si="355">SUMA(AW77:CG77)</f>
        <v>#NAME?</v>
      </c>
      <c r="CK77" s="16"/>
      <c r="CL77" s="60">
        <f t="shared" ref="CL77" si="356">H77*60.084/(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10.50273012123</v>
      </c>
      <c r="CM77" s="60">
        <f t="shared" ref="CM77" si="357">I77*79.866/(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CN77" s="60">
        <f t="shared" ref="CN77" si="358">J77/2*101.961/(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0.75894923149848426</v>
      </c>
      <c r="CO77" s="60">
        <f t="shared" ref="CO77" si="359">K77/2*151.99/(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CP77" s="60">
        <f t="shared" ref="CP77" si="360">M77/2*159.69/(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CQ77" s="60">
        <f t="shared" ref="CQ77" si="361">L77*71.844/(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0.58852229192658068</v>
      </c>
      <c r="CR77" s="60">
        <f t="shared" ref="CR77" si="362">CP77*1/((159.69/71.844)/2)+CQ77</f>
        <v>0.58852229192658068</v>
      </c>
      <c r="CS77" s="60">
        <f t="shared" ref="CS77" si="363">N77*70.937/(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CT77" s="60">
        <f t="shared" ref="CT77" si="364">O77*40.304/(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1.2211508392000867</v>
      </c>
      <c r="CU77" s="60">
        <f t="shared" ref="CU77" si="365">P77*74.693/(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CV77" s="60">
        <f t="shared" ref="CV77" si="366">Q77*81.38/(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CW77" s="60">
        <f t="shared" ref="CW77" si="367">R77*56.077/(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16.314278551928407</v>
      </c>
      <c r="CX77" s="60">
        <f t="shared" ref="CX77" si="368">S77/2*61.979/(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0.69184792908736092</v>
      </c>
      <c r="CY77" s="60">
        <f t="shared" ref="CY77" si="369">T77/2*94.196/(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0.25537068631571896</v>
      </c>
      <c r="CZ77" s="60">
        <f t="shared" ref="CZ77" si="370">U77/2*141.94/(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4.3716945543860133</v>
      </c>
      <c r="DA77" s="60">
        <f t="shared" ref="DA77" si="371">V77*80.06/(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B77" s="60">
        <f t="shared" ref="DB77" si="372">W77*37.9968/2/(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C77" s="60">
        <f t="shared" ref="DC77" si="373">X77*70.906/2/(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D77" s="60">
        <f t="shared" ref="DD77" si="374">Z77/2*18.015/(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E77" s="60">
        <f t="shared" ref="DE77" si="375">AA77*44.01/(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F77" s="55"/>
      <c r="DG77" s="60">
        <f t="shared" ref="DG77" si="376">AC77*74.9327/(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H77" s="60">
        <f t="shared" ref="DH77" si="377">AD77*79.545/(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I77" s="60">
        <f t="shared" ref="DI77" si="378">AE77*25.0117/(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J77" s="60">
        <f t="shared" ref="DJ77" si="379">AF77*153.3395/(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K77" s="60">
        <f t="shared" ref="DK77" si="380">AG77*103.6195/(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L77" s="60">
        <f t="shared" ref="DL77" si="381">AH77*223.1895/(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58.086292212302794</v>
      </c>
      <c r="DM77" s="60">
        <f t="shared" ref="DM77" si="382">AI77*181.8815/2/(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N77" s="60">
        <f t="shared" ref="DN77" si="383">AJ77*150.689/(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7.2091635821245532</v>
      </c>
      <c r="DO77" s="60">
        <f t="shared" ref="DO77" si="384">AK77*123.22/(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P77" s="60">
        <f t="shared" ref="DP77" si="385">AL77*225.8085/2/(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Q77" s="60">
        <f t="shared" ref="DQ77" si="386">AM77*143.9385/(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R77" s="60">
        <f t="shared" ref="DR77" si="387">AN77*231.8485/(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S77" s="60">
        <f t="shared" ref="DS77" si="388">AO77*229.8407/2/(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T77" s="60">
        <f t="shared" ref="DT77" si="389">AP77*110.959/(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U77" s="60">
        <f t="shared" ref="DU77" si="390">AQ77*323.4975/2/(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V77" s="60">
        <f t="shared" ref="DV77" si="391">AR77*159.599/(H77*60.084+I77*79.866+J77/2*101.961+K77/2*151.99+L77*71.844+M77/2*159.69+N77*70.937+O77*40.304+P77*74.693+Q77*81.38+R77*56.077+S77/2*61.979+T77/2*94.196+U77/2*141.94+V77*80.06+W77*37.9968/2+X77*70.906/2+Z77/2*18.015+AA77*44.01+AC77*74.9327+AD77*79.545+AE77*25.0117+AF77*153.3395+AG77*103.6195+AH77*223.1895+AI77*181.8815/2+AJ77*150.689+AK77*123.22+AL77*225.8085/2+AM77*143.9385+AN77*231.8485+AO77*229.8407/2+AP77*110.959+AQ77*323.4975/2+AR77*159.599)*100</f>
        <v>0</v>
      </c>
      <c r="DW77" s="60"/>
      <c r="DX77" s="60" t="e">
        <f t="shared" ref="DX77" ca="1" si="392">SUMA(CL77:DE77)-CR77+SUMA(DG77:DV77)</f>
        <v>#NAME?</v>
      </c>
    </row>
    <row r="78" spans="1:128" s="19" customFormat="1" ht="16" customHeight="1">
      <c r="A78" s="18"/>
      <c r="B78" s="108" t="s">
        <v>440</v>
      </c>
      <c r="C78" s="109" t="s">
        <v>461</v>
      </c>
      <c r="D78" s="16"/>
      <c r="E78" s="16"/>
      <c r="F78" s="16"/>
      <c r="G78" s="16"/>
      <c r="H78" s="20">
        <v>7.4305808395382416</v>
      </c>
      <c r="I78" s="20">
        <v>0</v>
      </c>
      <c r="J78" s="20">
        <v>0.59146988399453126</v>
      </c>
      <c r="K78" s="20">
        <v>0</v>
      </c>
      <c r="L78" s="20">
        <v>0.2857689630642658</v>
      </c>
      <c r="M78" s="20"/>
      <c r="N78" s="20">
        <v>0</v>
      </c>
      <c r="O78" s="20">
        <v>0.60609628568951335</v>
      </c>
      <c r="P78" s="20">
        <v>0</v>
      </c>
      <c r="Q78" s="20">
        <v>0</v>
      </c>
      <c r="R78" s="20">
        <v>6.7692762018939732</v>
      </c>
      <c r="S78" s="20">
        <v>0</v>
      </c>
      <c r="T78" s="20">
        <v>0.18838632656258228</v>
      </c>
      <c r="U78" s="20">
        <v>6.5791552248089893</v>
      </c>
      <c r="V78" s="20">
        <v>0</v>
      </c>
      <c r="W78" s="20">
        <v>0</v>
      </c>
      <c r="X78" s="20">
        <v>0</v>
      </c>
      <c r="Y78" s="20">
        <v>65.527113001988724</v>
      </c>
      <c r="Z78" s="20">
        <v>0</v>
      </c>
      <c r="AA78" s="20">
        <v>0</v>
      </c>
      <c r="AB78" s="55"/>
      <c r="AC78" s="20">
        <v>0</v>
      </c>
      <c r="AD78" s="20">
        <v>0</v>
      </c>
      <c r="AE78" s="20">
        <v>0</v>
      </c>
      <c r="AF78" s="20">
        <v>0</v>
      </c>
      <c r="AG78" s="20">
        <v>0</v>
      </c>
      <c r="AH78" s="20">
        <v>9.9297946005846818</v>
      </c>
      <c r="AI78" s="20">
        <v>0</v>
      </c>
      <c r="AJ78" s="20">
        <v>2.0923586718744929</v>
      </c>
      <c r="AK78" s="20">
        <v>0</v>
      </c>
      <c r="AL78" s="20">
        <v>0</v>
      </c>
      <c r="AM78" s="20">
        <v>0</v>
      </c>
      <c r="AN78" s="20">
        <v>0</v>
      </c>
      <c r="AO78" s="20">
        <v>0</v>
      </c>
      <c r="AP78" s="20">
        <v>0</v>
      </c>
      <c r="AQ78" s="20">
        <v>0</v>
      </c>
      <c r="AR78" s="20">
        <v>0</v>
      </c>
      <c r="AS78" s="55"/>
      <c r="AT78"/>
      <c r="AU78" s="20">
        <v>0</v>
      </c>
      <c r="AV78" s="20"/>
      <c r="AW78" s="11">
        <f t="shared" ref="AW78:AW100" si="393">28.0855*H78*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5.1000000000000005</v>
      </c>
      <c r="AX78" s="11">
        <f t="shared" ref="AX78:AX100" si="394">I78*47.867*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AY78" s="11">
        <f t="shared" ref="AY78:AY100" si="395">J78*26.981539*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0.38999999999999996</v>
      </c>
      <c r="AZ78" s="11">
        <f t="shared" ref="AZ78:AZ100" si="396">K78*51.9961*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A78" s="11">
        <f t="shared" ref="BA78:BA100" si="397">L78*55.845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0.39</v>
      </c>
      <c r="BB78" s="11">
        <f t="shared" ref="BB78:BB100" si="398">M79*55.845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C78" s="11">
        <f t="shared" ref="BC78:BC100" si="399">N78*54.938044*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D78" s="11">
        <f t="shared" ref="BD78:BD100" si="400">O78*24.305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0.36000000000000004</v>
      </c>
      <c r="BE78" s="11">
        <f t="shared" ref="BE78:BE100" si="401">P78*58.6934*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F78" s="11">
        <f t="shared" ref="BF78:BF100" si="402">Q78*65.38*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G78" s="11">
        <f t="shared" ref="BG78:BG100" si="403">R78*40.078*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6.629999999999999</v>
      </c>
      <c r="BH78" s="11">
        <f t="shared" ref="BH78:BH100" si="404">S78*22.989769*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I78" s="11">
        <f t="shared" ref="BI78:BI100" si="405">T78*39.0983*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0.18000000000000002</v>
      </c>
      <c r="BJ78" s="56">
        <f t="shared" ref="BJ78:BJ100" si="406">U78*30.973762*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4.9800000000000022</v>
      </c>
      <c r="BK78" s="11">
        <f t="shared" ref="BK78:BK100" si="407">V78*32.065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L78" s="34">
        <f t="shared" ref="BL78:BL100" si="408">W78*18.9984*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M78" s="11">
        <f t="shared" ref="BM78:BM100" si="409">X78*35.453*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N78" s="11">
        <f t="shared" ref="BN78:BN100" si="410">AA78*12.011*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O78" s="11">
        <f t="shared" ref="BO78:BO100" si="411">Y78*15.999*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25.62</v>
      </c>
      <c r="BP78" s="11">
        <f t="shared" ref="BP78:BP100" si="412">Z78*1.00784*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Q78" s="54"/>
      <c r="BR78" s="56">
        <f t="shared" ref="BR78:BR100" si="413">AC78*58.933195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S78" s="56">
        <f t="shared" ref="BS78:BS100" si="414">AD78*63.546*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T78" s="56">
        <f t="shared" ref="BT78:BT100" si="415">AE78*9.012182*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U78" s="56">
        <f t="shared" ref="BU78:BU100" si="416">AF78*137.327*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V78" s="56">
        <f t="shared" ref="BV78:BV100" si="417">AG78*87.62*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W78" s="56">
        <f t="shared" ref="BW78:BW100" si="418">AH78*207.2*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50.28</v>
      </c>
      <c r="BX78" s="56">
        <f t="shared" ref="BX78:BX100" si="419">AI78*50.9415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BY78" s="56">
        <f t="shared" ref="BY78:BY100" si="420">AJ78*118.71*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6.0699999999999994</v>
      </c>
      <c r="BZ78" s="56">
        <f t="shared" ref="BZ78:BZ100" si="421">AK78*91.224*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CA78" s="56">
        <f t="shared" ref="CA78:CA100" si="422">AL78*88.90585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CB78" s="56">
        <f t="shared" ref="CB78:CB100" si="423">AM78*95.95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CC78" s="56">
        <f t="shared" ref="CC78:CC100" si="424">AN78*183.84*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CD78" s="56">
        <f t="shared" ref="CD78:CD100" si="425">AO78*74.9216*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CE78" s="56">
        <f t="shared" ref="CE78:CE100" si="426">AP78*78.96*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CF78" s="56">
        <f t="shared" ref="CF78:CF100" si="427">AQ78*121.75*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CG78" s="56">
        <f t="shared" ref="CG78:CG100" si="428">AR78*127.6*100/(H78*28.0855+I78*47.867+J78*26.981539+K78*51.9961+L78*55.845+M78*55.845+N78*54.938044+O78*24.305+P78*58.6934+Q78*65.38+R78*40.078+S78*22.989769+T78*39.0983+U78*30.973762+AC78*58.933195+AD78*63.546+AE78*9.012182+AF78*137.327+AG78*87.62+AH78*207.2+AI78*50.9415+AJ78*118.71+AK78*91.224+AL78*88.90585+AM78*95.95+AN78*183.84+AO78*74.9216+W78*18.9984+X78*35.453+Y78*15.999+V78*32.065+Z78*1.00784+AA78*12.011+AP78*78.96+AQ78*121.75+AR78*127.6)</f>
        <v>0</v>
      </c>
      <c r="CH78" s="54"/>
      <c r="CI78" s="11"/>
      <c r="CJ78" s="12" t="e">
        <f t="shared" ref="CJ78:CJ100" ca="1" si="429">SUMA(AW78:CG78)</f>
        <v>#NAME?</v>
      </c>
      <c r="CK78" s="16"/>
      <c r="CL78" s="60">
        <f t="shared" ref="CL78:CL100" si="430">H78*60.084/(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11.422804590069417</v>
      </c>
      <c r="CM78" s="60">
        <f t="shared" ref="CM78:CM100" si="431">I78*79.866/(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CN78" s="60">
        <f t="shared" ref="CN78:CN100" si="432">J78/2*101.961/(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0.77148568767861692</v>
      </c>
      <c r="CO78" s="60">
        <f t="shared" ref="CO78:CO100" si="433">K78/2*151.99/(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CP78" s="60">
        <f t="shared" ref="CP78:CP100" si="434">M78/2*159.69/(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CQ78" s="60">
        <f t="shared" ref="CQ78:CQ100" si="435">L78*71.844/(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0.5252870687738519</v>
      </c>
      <c r="CR78" s="60">
        <f t="shared" ref="CR78:CR100" si="436">CP78*1/((159.69/71.844)/2)+CQ78</f>
        <v>0.5252870687738519</v>
      </c>
      <c r="CS78" s="60">
        <f t="shared" ref="CS78:CS100" si="437">N78*70.937/(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CT78" s="60">
        <f t="shared" ref="CT78:CT100" si="438">O78*40.304/(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0.62500129798960147</v>
      </c>
      <c r="CU78" s="60">
        <f t="shared" ref="CU78:CU100" si="439">P78*74.693/(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CV78" s="60">
        <f t="shared" ref="CV78:CV100" si="440">Q78*81.38/(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CW78" s="60">
        <f t="shared" ref="CW78:CW100" si="441">R78*56.077/(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9.7122119841133348</v>
      </c>
      <c r="CX78" s="60">
        <f t="shared" ref="CX78:CX100" si="442">S78/2*61.979/(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CY78" s="60">
        <f t="shared" ref="CY78:CY100" si="443">T78/2*94.196/(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0.22700895506648344</v>
      </c>
      <c r="CZ78" s="60">
        <f t="shared" ref="CZ78:CZ100" si="444">U78/2*141.94/(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11.946373392608201</v>
      </c>
      <c r="DA78" s="60">
        <f t="shared" ref="DA78:DA100" si="445">V78*80.06/(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B78" s="60">
        <f t="shared" ref="DB78:DB100" si="446">W78*37.9968/2/(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C78" s="60">
        <f t="shared" ref="DC78:DC100" si="447">X78*70.906/2/(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D78" s="60">
        <f t="shared" ref="DD78:DD100" si="448">Z78/2*18.015/(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E78" s="60">
        <f t="shared" ref="DE78:DE100" si="449">AA78*44.01/(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F78" s="55"/>
      <c r="DG78" s="60">
        <f t="shared" ref="DG78:DG100" si="450">AC78*74.9327/(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H78" s="60">
        <f t="shared" ref="DH78:DH100" si="451">AD78*79.545/(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I78" s="60">
        <f t="shared" ref="DI78:DI100" si="452">AE78*25.0117/(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J78" s="60">
        <f t="shared" ref="DJ78:DJ100" si="453">AF78*153.3395/(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K78" s="60">
        <f t="shared" ref="DK78:DK100" si="454">AG78*103.6195/(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L78" s="60">
        <f t="shared" ref="DL78:DL100" si="455">AH78*223.1895/(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56.702886951015664</v>
      </c>
      <c r="DM78" s="60">
        <f t="shared" ref="DM78:DM100" si="456">AI78*181.8815/2/(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N78" s="60">
        <f t="shared" ref="DN78:DN100" si="457">AJ78*150.689/(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8.0669400726848348</v>
      </c>
      <c r="DO78" s="60">
        <f t="shared" ref="DO78:DO100" si="458">AK78*123.22/(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P78" s="60">
        <f t="shared" ref="DP78:DP100" si="459">AL78*225.8085/2/(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Q78" s="60">
        <f t="shared" ref="DQ78:DQ100" si="460">AM78*143.9385/(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R78" s="60">
        <f t="shared" ref="DR78:DR100" si="461">AN78*231.8485/(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S78" s="60">
        <f t="shared" ref="DS78:DS100" si="462">AO78*229.8407/2/(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T78" s="60">
        <f t="shared" ref="DT78:DT100" si="463">AP78*110.959/(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U78" s="60">
        <f t="shared" ref="DU78:DU100" si="464">AQ78*323.4975/2/(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V78" s="60">
        <f t="shared" ref="DV78:DV100" si="465">AR78*159.599/(H78*60.084+I78*79.866+J78/2*101.961+K78/2*151.99+L78*71.844+M78/2*159.69+N78*70.937+O78*40.304+P78*74.693+Q78*81.38+R78*56.077+S78/2*61.979+T78/2*94.196+U78/2*141.94+V78*80.06+W78*37.9968/2+X78*70.906/2+Z78/2*18.015+AA78*44.01+AC78*74.9327+AD78*79.545+AE78*25.0117+AF78*153.3395+AG78*103.6195+AH78*223.1895+AI78*181.8815/2+AJ78*150.689+AK78*123.22+AL78*225.8085/2+AM78*143.9385+AN78*231.8485+AO78*229.8407/2+AP78*110.959+AQ78*323.4975/2+AR78*159.599)*100</f>
        <v>0</v>
      </c>
      <c r="DW78" s="60"/>
      <c r="DX78" s="60" t="e">
        <f t="shared" ref="DX78:DX100" ca="1" si="466">SUMA(CL78:DE78)-CR78+SUMA(DG78:DV78)</f>
        <v>#NAME?</v>
      </c>
    </row>
    <row r="79" spans="1:128" s="19" customFormat="1" ht="16" customHeight="1">
      <c r="A79" s="18"/>
      <c r="B79" s="108" t="s">
        <v>441</v>
      </c>
      <c r="C79" s="109" t="s">
        <v>461</v>
      </c>
      <c r="D79" s="16"/>
      <c r="E79" s="16"/>
      <c r="F79" s="16"/>
      <c r="G79" s="16"/>
      <c r="H79" s="20">
        <v>7.2945535568519038</v>
      </c>
      <c r="I79" s="20">
        <v>0</v>
      </c>
      <c r="J79" s="20">
        <v>1.7812377042020762</v>
      </c>
      <c r="K79" s="20">
        <v>0</v>
      </c>
      <c r="L79" s="20">
        <v>0.32665332138398406</v>
      </c>
      <c r="M79" s="20"/>
      <c r="N79" s="20">
        <v>0</v>
      </c>
      <c r="O79" s="20">
        <v>0.46187279559922367</v>
      </c>
      <c r="P79" s="20">
        <v>0</v>
      </c>
      <c r="Q79" s="20">
        <v>0</v>
      </c>
      <c r="R79" s="20">
        <v>6.9587160865578603</v>
      </c>
      <c r="S79" s="20">
        <v>0.36622219748181678</v>
      </c>
      <c r="T79" s="20">
        <v>0.44862157917668138</v>
      </c>
      <c r="U79" s="20">
        <v>5.6856194780214739</v>
      </c>
      <c r="V79" s="20">
        <v>0</v>
      </c>
      <c r="W79" s="20">
        <v>0</v>
      </c>
      <c r="X79" s="20">
        <v>0</v>
      </c>
      <c r="Y79" s="20">
        <v>67.402973320790139</v>
      </c>
      <c r="Z79" s="20">
        <v>0</v>
      </c>
      <c r="AA79" s="20">
        <v>0</v>
      </c>
      <c r="AB79" s="55"/>
      <c r="AC79" s="20">
        <v>0</v>
      </c>
      <c r="AD79" s="20">
        <v>0</v>
      </c>
      <c r="AE79" s="20">
        <v>0</v>
      </c>
      <c r="AF79" s="20">
        <v>0</v>
      </c>
      <c r="AG79" s="20">
        <v>0</v>
      </c>
      <c r="AH79" s="20">
        <v>6.3981610980500241</v>
      </c>
      <c r="AI79" s="20">
        <v>0</v>
      </c>
      <c r="AJ79" s="20">
        <v>2.8753688618848132</v>
      </c>
      <c r="AK79" s="20">
        <v>0</v>
      </c>
      <c r="AL79" s="20">
        <v>0</v>
      </c>
      <c r="AM79" s="20">
        <v>0</v>
      </c>
      <c r="AN79" s="20">
        <v>0</v>
      </c>
      <c r="AO79" s="20">
        <v>0</v>
      </c>
      <c r="AP79" s="20">
        <v>0</v>
      </c>
      <c r="AQ79" s="20">
        <v>0</v>
      </c>
      <c r="AR79" s="20">
        <v>0</v>
      </c>
      <c r="AS79" s="55"/>
      <c r="AT79"/>
      <c r="AU79" s="20">
        <v>0</v>
      </c>
      <c r="AV79" s="20"/>
      <c r="AW79" s="11">
        <f t="shared" si="393"/>
        <v>5.8388322335532896</v>
      </c>
      <c r="AX79" s="11">
        <f t="shared" si="394"/>
        <v>0</v>
      </c>
      <c r="AY79" s="11">
        <f t="shared" si="395"/>
        <v>1.3697260547890424</v>
      </c>
      <c r="AZ79" s="11">
        <f t="shared" si="396"/>
        <v>0</v>
      </c>
      <c r="BA79" s="11">
        <f t="shared" si="397"/>
        <v>0.51989602079584096</v>
      </c>
      <c r="BB79" s="11">
        <f t="shared" si="398"/>
        <v>0</v>
      </c>
      <c r="BC79" s="11">
        <f t="shared" si="399"/>
        <v>0</v>
      </c>
      <c r="BD79" s="11">
        <f t="shared" si="400"/>
        <v>0.31993601279744055</v>
      </c>
      <c r="BE79" s="11">
        <f t="shared" si="401"/>
        <v>0</v>
      </c>
      <c r="BF79" s="11">
        <f t="shared" si="402"/>
        <v>0</v>
      </c>
      <c r="BG79" s="11">
        <f t="shared" si="403"/>
        <v>7.9484103179364141</v>
      </c>
      <c r="BH79" s="11">
        <f t="shared" si="404"/>
        <v>0.23995200959808044</v>
      </c>
      <c r="BI79" s="11">
        <f t="shared" si="405"/>
        <v>0.49990001999600087</v>
      </c>
      <c r="BJ79" s="56">
        <f t="shared" si="406"/>
        <v>5.0189962007598483</v>
      </c>
      <c r="BK79" s="11">
        <f t="shared" si="407"/>
        <v>0</v>
      </c>
      <c r="BL79" s="34">
        <f t="shared" si="408"/>
        <v>0</v>
      </c>
      <c r="BM79" s="11">
        <f t="shared" si="409"/>
        <v>0</v>
      </c>
      <c r="BN79" s="11">
        <f t="shared" si="410"/>
        <v>0</v>
      </c>
      <c r="BO79" s="11">
        <f t="shared" si="411"/>
        <v>30.733853229354128</v>
      </c>
      <c r="BP79" s="11">
        <f t="shared" si="412"/>
        <v>0</v>
      </c>
      <c r="BQ79" s="54"/>
      <c r="BR79" s="56">
        <f t="shared" si="413"/>
        <v>0</v>
      </c>
      <c r="BS79" s="56">
        <f t="shared" si="414"/>
        <v>0</v>
      </c>
      <c r="BT79" s="56">
        <f t="shared" si="415"/>
        <v>0</v>
      </c>
      <c r="BU79" s="56">
        <f t="shared" si="416"/>
        <v>0</v>
      </c>
      <c r="BV79" s="56">
        <f t="shared" si="417"/>
        <v>0</v>
      </c>
      <c r="BW79" s="56">
        <f t="shared" si="418"/>
        <v>37.782443511297743</v>
      </c>
      <c r="BX79" s="56">
        <f t="shared" si="419"/>
        <v>0</v>
      </c>
      <c r="BY79" s="56">
        <f t="shared" si="420"/>
        <v>9.7280543891221765</v>
      </c>
      <c r="BZ79" s="56">
        <f t="shared" si="421"/>
        <v>0</v>
      </c>
      <c r="CA79" s="56">
        <f t="shared" si="422"/>
        <v>0</v>
      </c>
      <c r="CB79" s="56">
        <f t="shared" si="423"/>
        <v>0</v>
      </c>
      <c r="CC79" s="56">
        <f t="shared" si="424"/>
        <v>0</v>
      </c>
      <c r="CD79" s="56">
        <f t="shared" si="425"/>
        <v>0</v>
      </c>
      <c r="CE79" s="56">
        <f t="shared" si="426"/>
        <v>0</v>
      </c>
      <c r="CF79" s="56">
        <f t="shared" si="427"/>
        <v>0</v>
      </c>
      <c r="CG79" s="56">
        <f t="shared" si="428"/>
        <v>0</v>
      </c>
      <c r="CH79" s="54"/>
      <c r="CI79" s="11"/>
      <c r="CJ79" s="12" t="e">
        <f t="shared" ca="1" si="429"/>
        <v>#NAME?</v>
      </c>
      <c r="CK79" s="16"/>
      <c r="CL79" s="60">
        <f t="shared" si="430"/>
        <v>13.449812210897036</v>
      </c>
      <c r="CM79" s="60">
        <f t="shared" si="431"/>
        <v>0</v>
      </c>
      <c r="CN79" s="60">
        <f t="shared" si="432"/>
        <v>2.7866641852968264</v>
      </c>
      <c r="CO79" s="60">
        <f t="shared" si="433"/>
        <v>0</v>
      </c>
      <c r="CP79" s="60">
        <f t="shared" si="434"/>
        <v>0</v>
      </c>
      <c r="CQ79" s="60">
        <f t="shared" si="435"/>
        <v>0.72017202724217844</v>
      </c>
      <c r="CR79" s="60">
        <f t="shared" si="436"/>
        <v>0.72017202724217844</v>
      </c>
      <c r="CS79" s="60">
        <f t="shared" si="437"/>
        <v>0</v>
      </c>
      <c r="CT79" s="60">
        <f t="shared" si="438"/>
        <v>0.57125392768926264</v>
      </c>
      <c r="CU79" s="60">
        <f t="shared" si="439"/>
        <v>0</v>
      </c>
      <c r="CV79" s="60">
        <f t="shared" si="440"/>
        <v>0</v>
      </c>
      <c r="CW79" s="60">
        <f t="shared" si="441"/>
        <v>11.974918201552461</v>
      </c>
      <c r="CX79" s="60">
        <f t="shared" si="442"/>
        <v>0.3482714703161105</v>
      </c>
      <c r="CY79" s="60">
        <f t="shared" si="443"/>
        <v>0.64839743943080563</v>
      </c>
      <c r="CZ79" s="60">
        <f t="shared" si="444"/>
        <v>12.382583391994087</v>
      </c>
      <c r="DA79" s="60">
        <f t="shared" si="445"/>
        <v>0</v>
      </c>
      <c r="DB79" s="60">
        <f t="shared" si="446"/>
        <v>0</v>
      </c>
      <c r="DC79" s="60">
        <f t="shared" si="447"/>
        <v>0</v>
      </c>
      <c r="DD79" s="60">
        <f t="shared" si="448"/>
        <v>0</v>
      </c>
      <c r="DE79" s="60">
        <f t="shared" si="449"/>
        <v>0</v>
      </c>
      <c r="DF79" s="55"/>
      <c r="DG79" s="60">
        <f t="shared" si="450"/>
        <v>0</v>
      </c>
      <c r="DH79" s="60">
        <f t="shared" si="451"/>
        <v>0</v>
      </c>
      <c r="DI79" s="60">
        <f t="shared" si="452"/>
        <v>0</v>
      </c>
      <c r="DJ79" s="60">
        <f t="shared" si="453"/>
        <v>0</v>
      </c>
      <c r="DK79" s="60">
        <f t="shared" si="454"/>
        <v>0</v>
      </c>
      <c r="DL79" s="60">
        <f t="shared" si="455"/>
        <v>43.821536009135762</v>
      </c>
      <c r="DM79" s="60">
        <f t="shared" si="456"/>
        <v>0</v>
      </c>
      <c r="DN79" s="60">
        <f t="shared" si="457"/>
        <v>13.296391136445459</v>
      </c>
      <c r="DO79" s="60">
        <f t="shared" si="458"/>
        <v>0</v>
      </c>
      <c r="DP79" s="60">
        <f t="shared" si="459"/>
        <v>0</v>
      </c>
      <c r="DQ79" s="60">
        <f t="shared" si="460"/>
        <v>0</v>
      </c>
      <c r="DR79" s="60">
        <f t="shared" si="461"/>
        <v>0</v>
      </c>
      <c r="DS79" s="60">
        <f t="shared" si="462"/>
        <v>0</v>
      </c>
      <c r="DT79" s="60">
        <f t="shared" si="463"/>
        <v>0</v>
      </c>
      <c r="DU79" s="60">
        <f t="shared" si="464"/>
        <v>0</v>
      </c>
      <c r="DV79" s="60">
        <f t="shared" si="465"/>
        <v>0</v>
      </c>
      <c r="DW79" s="60"/>
      <c r="DX79" s="60" t="e">
        <f t="shared" ca="1" si="466"/>
        <v>#NAME?</v>
      </c>
    </row>
    <row r="80" spans="1:128" s="19" customFormat="1" ht="16" customHeight="1">
      <c r="A80" s="18"/>
      <c r="B80" s="108" t="s">
        <v>431</v>
      </c>
      <c r="C80" s="109" t="s">
        <v>461</v>
      </c>
      <c r="D80" s="16"/>
      <c r="E80" s="16"/>
      <c r="F80" s="16"/>
      <c r="G80" s="16"/>
      <c r="H80" s="20">
        <v>4.0492528494057014</v>
      </c>
      <c r="I80" s="20">
        <v>0</v>
      </c>
      <c r="J80" s="20">
        <v>2.150280178468384</v>
      </c>
      <c r="K80" s="20">
        <v>0</v>
      </c>
      <c r="L80" s="20">
        <v>0.93777619099319776</v>
      </c>
      <c r="M80" s="20"/>
      <c r="N80" s="20">
        <v>0</v>
      </c>
      <c r="O80" s="20">
        <v>0.91891842043784178</v>
      </c>
      <c r="P80" s="20">
        <v>0</v>
      </c>
      <c r="Q80" s="20">
        <v>0</v>
      </c>
      <c r="R80" s="20">
        <v>22.585494162252395</v>
      </c>
      <c r="S80" s="20">
        <v>0</v>
      </c>
      <c r="T80" s="20">
        <v>0.7156850635193418</v>
      </c>
      <c r="U80" s="20">
        <v>0.74593654156685607</v>
      </c>
      <c r="V80" s="20">
        <v>9.9275885867032905</v>
      </c>
      <c r="W80" s="20">
        <v>0</v>
      </c>
      <c r="X80" s="20">
        <v>0.34032840429205508</v>
      </c>
      <c r="Y80" s="20">
        <v>57.042703029626779</v>
      </c>
      <c r="Z80" s="20">
        <v>0</v>
      </c>
      <c r="AA80" s="20">
        <v>0</v>
      </c>
      <c r="AB80" s="55"/>
      <c r="AC80" s="20">
        <v>0</v>
      </c>
      <c r="AD80" s="20">
        <v>0</v>
      </c>
      <c r="AE80" s="20">
        <v>0</v>
      </c>
      <c r="AF80" s="20">
        <v>0</v>
      </c>
      <c r="AG80" s="20">
        <v>0</v>
      </c>
      <c r="AH80" s="20">
        <v>0.58603657273414811</v>
      </c>
      <c r="AI80" s="20">
        <v>0</v>
      </c>
      <c r="AJ80" s="20">
        <v>0</v>
      </c>
      <c r="AK80" s="20">
        <v>0</v>
      </c>
      <c r="AL80" s="20">
        <v>0</v>
      </c>
      <c r="AM80" s="20">
        <v>0</v>
      </c>
      <c r="AN80" s="20">
        <v>0</v>
      </c>
      <c r="AO80" s="20">
        <v>0</v>
      </c>
      <c r="AP80" s="20">
        <v>0</v>
      </c>
      <c r="AQ80" s="20">
        <v>0</v>
      </c>
      <c r="AR80" s="20">
        <v>0</v>
      </c>
      <c r="AS80" s="55"/>
      <c r="AT80"/>
      <c r="AU80" s="20">
        <v>0</v>
      </c>
      <c r="AV80" s="20"/>
      <c r="AW80" s="11">
        <f t="shared" si="393"/>
        <v>4.4300000000000006</v>
      </c>
      <c r="AX80" s="11">
        <f t="shared" si="394"/>
        <v>0</v>
      </c>
      <c r="AY80" s="11">
        <f t="shared" si="395"/>
        <v>2.2600000000000007</v>
      </c>
      <c r="AZ80" s="11">
        <f t="shared" si="396"/>
        <v>0</v>
      </c>
      <c r="BA80" s="11">
        <f t="shared" si="397"/>
        <v>2.04</v>
      </c>
      <c r="BB80" s="11">
        <f t="shared" si="398"/>
        <v>0</v>
      </c>
      <c r="BC80" s="11">
        <f t="shared" si="399"/>
        <v>0</v>
      </c>
      <c r="BD80" s="11">
        <f t="shared" si="400"/>
        <v>0.87000000000000011</v>
      </c>
      <c r="BE80" s="11">
        <f t="shared" si="401"/>
        <v>0</v>
      </c>
      <c r="BF80" s="11">
        <f t="shared" si="402"/>
        <v>0</v>
      </c>
      <c r="BG80" s="11">
        <f t="shared" si="403"/>
        <v>35.26</v>
      </c>
      <c r="BH80" s="11">
        <f t="shared" si="404"/>
        <v>0</v>
      </c>
      <c r="BI80" s="11">
        <f t="shared" si="405"/>
        <v>1.0900000000000003</v>
      </c>
      <c r="BJ80" s="56">
        <f t="shared" si="406"/>
        <v>0.90000000000000013</v>
      </c>
      <c r="BK80" s="11">
        <f t="shared" si="407"/>
        <v>12.400000000000002</v>
      </c>
      <c r="BL80" s="34">
        <f t="shared" si="408"/>
        <v>0</v>
      </c>
      <c r="BM80" s="11">
        <f t="shared" si="409"/>
        <v>0.47</v>
      </c>
      <c r="BN80" s="11">
        <f t="shared" si="410"/>
        <v>0</v>
      </c>
      <c r="BO80" s="11">
        <f t="shared" si="411"/>
        <v>35.549999999999997</v>
      </c>
      <c r="BP80" s="11">
        <f t="shared" si="412"/>
        <v>0</v>
      </c>
      <c r="BQ80" s="54"/>
      <c r="BR80" s="56">
        <f t="shared" si="413"/>
        <v>0</v>
      </c>
      <c r="BS80" s="56">
        <f t="shared" si="414"/>
        <v>0</v>
      </c>
      <c r="BT80" s="56">
        <f t="shared" si="415"/>
        <v>0</v>
      </c>
      <c r="BU80" s="56">
        <f t="shared" si="416"/>
        <v>0</v>
      </c>
      <c r="BV80" s="56">
        <f t="shared" si="417"/>
        <v>0</v>
      </c>
      <c r="BW80" s="56">
        <f t="shared" si="418"/>
        <v>4.7300000000000004</v>
      </c>
      <c r="BX80" s="56">
        <f t="shared" si="419"/>
        <v>0</v>
      </c>
      <c r="BY80" s="56">
        <f t="shared" si="420"/>
        <v>0</v>
      </c>
      <c r="BZ80" s="56">
        <f t="shared" si="421"/>
        <v>0</v>
      </c>
      <c r="CA80" s="56">
        <f t="shared" si="422"/>
        <v>0</v>
      </c>
      <c r="CB80" s="56">
        <f t="shared" si="423"/>
        <v>0</v>
      </c>
      <c r="CC80" s="56">
        <f t="shared" si="424"/>
        <v>0</v>
      </c>
      <c r="CD80" s="56">
        <f t="shared" si="425"/>
        <v>0</v>
      </c>
      <c r="CE80" s="56">
        <f t="shared" si="426"/>
        <v>0</v>
      </c>
      <c r="CF80" s="56">
        <f t="shared" si="427"/>
        <v>0</v>
      </c>
      <c r="CG80" s="56">
        <f t="shared" si="428"/>
        <v>0</v>
      </c>
      <c r="CH80" s="54"/>
      <c r="CI80" s="11"/>
      <c r="CJ80" s="12" t="e">
        <f t="shared" ca="1" si="429"/>
        <v>#NAME?</v>
      </c>
      <c r="CK80" s="16"/>
      <c r="CL80" s="60">
        <f t="shared" si="430"/>
        <v>8.8530057193541616</v>
      </c>
      <c r="CM80" s="60">
        <f t="shared" si="431"/>
        <v>0</v>
      </c>
      <c r="CN80" s="60">
        <f t="shared" si="432"/>
        <v>3.9889275923989498</v>
      </c>
      <c r="CO80" s="60">
        <f t="shared" si="433"/>
        <v>0</v>
      </c>
      <c r="CP80" s="60">
        <f t="shared" si="434"/>
        <v>0</v>
      </c>
      <c r="CQ80" s="60">
        <f t="shared" si="435"/>
        <v>2.451583656120679</v>
      </c>
      <c r="CR80" s="60">
        <f t="shared" si="436"/>
        <v>2.451583656120679</v>
      </c>
      <c r="CS80" s="60">
        <f t="shared" si="437"/>
        <v>0</v>
      </c>
      <c r="CT80" s="60">
        <f t="shared" si="438"/>
        <v>1.3476655240938273</v>
      </c>
      <c r="CU80" s="60">
        <f t="shared" si="439"/>
        <v>0</v>
      </c>
      <c r="CV80" s="60">
        <f t="shared" si="440"/>
        <v>0</v>
      </c>
      <c r="CW80" s="60">
        <f t="shared" si="441"/>
        <v>46.086250896401289</v>
      </c>
      <c r="CX80" s="60">
        <f t="shared" si="442"/>
        <v>0</v>
      </c>
      <c r="CY80" s="60">
        <f t="shared" si="443"/>
        <v>1.2265391914840234</v>
      </c>
      <c r="CZ80" s="60">
        <f t="shared" si="444"/>
        <v>1.9263433533867713</v>
      </c>
      <c r="DA80" s="60">
        <f t="shared" si="445"/>
        <v>28.921203926462784</v>
      </c>
      <c r="DB80" s="60">
        <f t="shared" si="446"/>
        <v>0</v>
      </c>
      <c r="DC80" s="60">
        <f t="shared" si="447"/>
        <v>0.43904415421695175</v>
      </c>
      <c r="DD80" s="60">
        <f t="shared" si="448"/>
        <v>0</v>
      </c>
      <c r="DE80" s="60">
        <f t="shared" si="449"/>
        <v>0</v>
      </c>
      <c r="DF80" s="55"/>
      <c r="DG80" s="60">
        <f t="shared" si="450"/>
        <v>0</v>
      </c>
      <c r="DH80" s="60">
        <f t="shared" si="451"/>
        <v>0</v>
      </c>
      <c r="DI80" s="60">
        <f t="shared" si="452"/>
        <v>0</v>
      </c>
      <c r="DJ80" s="60">
        <f t="shared" si="453"/>
        <v>0</v>
      </c>
      <c r="DK80" s="60">
        <f t="shared" si="454"/>
        <v>0</v>
      </c>
      <c r="DL80" s="60">
        <f t="shared" si="455"/>
        <v>4.7594359860805557</v>
      </c>
      <c r="DM80" s="60">
        <f t="shared" si="456"/>
        <v>0</v>
      </c>
      <c r="DN80" s="60">
        <f t="shared" si="457"/>
        <v>0</v>
      </c>
      <c r="DO80" s="60">
        <f t="shared" si="458"/>
        <v>0</v>
      </c>
      <c r="DP80" s="60">
        <f t="shared" si="459"/>
        <v>0</v>
      </c>
      <c r="DQ80" s="60">
        <f t="shared" si="460"/>
        <v>0</v>
      </c>
      <c r="DR80" s="60">
        <f t="shared" si="461"/>
        <v>0</v>
      </c>
      <c r="DS80" s="60">
        <f t="shared" si="462"/>
        <v>0</v>
      </c>
      <c r="DT80" s="60">
        <f t="shared" si="463"/>
        <v>0</v>
      </c>
      <c r="DU80" s="60">
        <f t="shared" si="464"/>
        <v>0</v>
      </c>
      <c r="DV80" s="60">
        <f t="shared" si="465"/>
        <v>0</v>
      </c>
      <c r="DW80" s="60"/>
      <c r="DX80" s="60" t="e">
        <f t="shared" ca="1" si="466"/>
        <v>#NAME?</v>
      </c>
    </row>
    <row r="81" spans="1:128" s="19" customFormat="1" ht="16" customHeight="1">
      <c r="A81" s="18"/>
      <c r="B81" s="17" t="s">
        <v>432</v>
      </c>
      <c r="C81" s="109" t="s">
        <v>461</v>
      </c>
      <c r="D81" s="16"/>
      <c r="E81" s="16"/>
      <c r="F81" s="16"/>
      <c r="G81" s="16"/>
      <c r="H81" s="20">
        <v>2.5623999852827333</v>
      </c>
      <c r="I81" s="20">
        <v>0</v>
      </c>
      <c r="J81" s="20">
        <v>1.1333334512612521</v>
      </c>
      <c r="K81" s="20">
        <v>0</v>
      </c>
      <c r="L81" s="20">
        <v>0.70806544395996174</v>
      </c>
      <c r="M81" s="20"/>
      <c r="N81" s="20">
        <v>0</v>
      </c>
      <c r="O81" s="20">
        <v>0.19522854417417351</v>
      </c>
      <c r="P81" s="20">
        <v>0</v>
      </c>
      <c r="Q81" s="20">
        <v>0</v>
      </c>
      <c r="R81" s="20">
        <v>20.844075343274735</v>
      </c>
      <c r="S81" s="20">
        <v>9.1732201323569199E-2</v>
      </c>
      <c r="T81" s="20">
        <v>0.3640846097774037</v>
      </c>
      <c r="U81" s="20">
        <v>0.95321419645650096</v>
      </c>
      <c r="V81" s="20">
        <v>16.360187179938393</v>
      </c>
      <c r="W81" s="20">
        <v>0</v>
      </c>
      <c r="X81" s="20">
        <v>0</v>
      </c>
      <c r="Y81" s="20">
        <v>55.872922394544787</v>
      </c>
      <c r="Z81" s="20">
        <v>0</v>
      </c>
      <c r="AA81" s="20">
        <v>0</v>
      </c>
      <c r="AB81" s="55"/>
      <c r="AC81" s="20">
        <v>0</v>
      </c>
      <c r="AD81" s="20">
        <v>0</v>
      </c>
      <c r="AE81" s="20">
        <v>0</v>
      </c>
      <c r="AF81" s="20">
        <v>0</v>
      </c>
      <c r="AG81" s="20">
        <v>0</v>
      </c>
      <c r="AH81" s="20">
        <v>0.91475665000649242</v>
      </c>
      <c r="AI81" s="20">
        <v>0</v>
      </c>
      <c r="AJ81" s="20">
        <v>0</v>
      </c>
      <c r="AK81" s="20">
        <v>0</v>
      </c>
      <c r="AL81" s="20">
        <v>0</v>
      </c>
      <c r="AM81" s="20">
        <v>0</v>
      </c>
      <c r="AN81" s="20">
        <v>0</v>
      </c>
      <c r="AO81" s="20">
        <v>0</v>
      </c>
      <c r="AP81" s="20">
        <v>0</v>
      </c>
      <c r="AQ81" s="20">
        <v>0</v>
      </c>
      <c r="AR81" s="20">
        <v>0</v>
      </c>
      <c r="AS81" s="55"/>
      <c r="AT81"/>
      <c r="AU81" s="20">
        <v>0</v>
      </c>
      <c r="AV81" s="20"/>
      <c r="AW81" s="11">
        <f t="shared" si="393"/>
        <v>2.7300000000000009</v>
      </c>
      <c r="AX81" s="11">
        <f t="shared" si="394"/>
        <v>0</v>
      </c>
      <c r="AY81" s="11">
        <f t="shared" si="395"/>
        <v>1.1600000000000001</v>
      </c>
      <c r="AZ81" s="11">
        <f t="shared" si="396"/>
        <v>0</v>
      </c>
      <c r="BA81" s="11">
        <f t="shared" si="397"/>
        <v>1.5000000000000002</v>
      </c>
      <c r="BB81" s="11">
        <f t="shared" si="398"/>
        <v>0</v>
      </c>
      <c r="BC81" s="11">
        <f t="shared" si="399"/>
        <v>0</v>
      </c>
      <c r="BD81" s="11">
        <f t="shared" si="400"/>
        <v>0.18000000000000002</v>
      </c>
      <c r="BE81" s="11">
        <f t="shared" si="401"/>
        <v>0</v>
      </c>
      <c r="BF81" s="11">
        <f t="shared" si="402"/>
        <v>0</v>
      </c>
      <c r="BG81" s="11">
        <f t="shared" si="403"/>
        <v>31.69</v>
      </c>
      <c r="BH81" s="11">
        <f t="shared" si="404"/>
        <v>8.0000000000000016E-2</v>
      </c>
      <c r="BI81" s="11">
        <f t="shared" si="405"/>
        <v>0.54000000000000015</v>
      </c>
      <c r="BJ81" s="56">
        <f t="shared" si="406"/>
        <v>1.1200000000000006</v>
      </c>
      <c r="BK81" s="11">
        <f t="shared" si="407"/>
        <v>19.900000000000002</v>
      </c>
      <c r="BL81" s="34">
        <f t="shared" si="408"/>
        <v>0</v>
      </c>
      <c r="BM81" s="11">
        <f t="shared" si="409"/>
        <v>0</v>
      </c>
      <c r="BN81" s="11">
        <f t="shared" si="410"/>
        <v>0</v>
      </c>
      <c r="BO81" s="11">
        <f t="shared" si="411"/>
        <v>33.910000000000004</v>
      </c>
      <c r="BP81" s="11">
        <f t="shared" si="412"/>
        <v>0</v>
      </c>
      <c r="BQ81" s="54"/>
      <c r="BR81" s="56">
        <f t="shared" si="413"/>
        <v>0</v>
      </c>
      <c r="BS81" s="56">
        <f t="shared" si="414"/>
        <v>0</v>
      </c>
      <c r="BT81" s="56">
        <f t="shared" si="415"/>
        <v>0</v>
      </c>
      <c r="BU81" s="56">
        <f t="shared" si="416"/>
        <v>0</v>
      </c>
      <c r="BV81" s="56">
        <f t="shared" si="417"/>
        <v>0</v>
      </c>
      <c r="BW81" s="56">
        <f t="shared" si="418"/>
        <v>7.1900000000000013</v>
      </c>
      <c r="BX81" s="56">
        <f t="shared" si="419"/>
        <v>0</v>
      </c>
      <c r="BY81" s="56">
        <f t="shared" si="420"/>
        <v>0</v>
      </c>
      <c r="BZ81" s="56">
        <f t="shared" si="421"/>
        <v>0</v>
      </c>
      <c r="CA81" s="56">
        <f t="shared" si="422"/>
        <v>0</v>
      </c>
      <c r="CB81" s="56">
        <f t="shared" si="423"/>
        <v>0</v>
      </c>
      <c r="CC81" s="56">
        <f t="shared" si="424"/>
        <v>0</v>
      </c>
      <c r="CD81" s="56">
        <f t="shared" si="425"/>
        <v>0</v>
      </c>
      <c r="CE81" s="56">
        <f t="shared" si="426"/>
        <v>0</v>
      </c>
      <c r="CF81" s="56">
        <f t="shared" si="427"/>
        <v>0</v>
      </c>
      <c r="CG81" s="56">
        <f t="shared" si="428"/>
        <v>0</v>
      </c>
      <c r="CH81" s="54"/>
      <c r="CI81" s="11"/>
      <c r="CJ81" s="12" t="e">
        <f t="shared" ca="1" si="429"/>
        <v>#NAME?</v>
      </c>
      <c r="CK81" s="16"/>
      <c r="CL81" s="60">
        <f t="shared" si="430"/>
        <v>5.0628669394821086</v>
      </c>
      <c r="CM81" s="60">
        <f t="shared" si="431"/>
        <v>0</v>
      </c>
      <c r="CN81" s="60">
        <f t="shared" si="432"/>
        <v>1.8999954067122098</v>
      </c>
      <c r="CO81" s="60">
        <f t="shared" si="433"/>
        <v>0</v>
      </c>
      <c r="CP81" s="60">
        <f t="shared" si="434"/>
        <v>0</v>
      </c>
      <c r="CQ81" s="60">
        <f t="shared" si="435"/>
        <v>1.6728409723658535</v>
      </c>
      <c r="CR81" s="60">
        <f t="shared" si="436"/>
        <v>1.6728409723658535</v>
      </c>
      <c r="CS81" s="60">
        <f t="shared" si="437"/>
        <v>0</v>
      </c>
      <c r="CT81" s="60">
        <f t="shared" si="438"/>
        <v>0.25875110840805032</v>
      </c>
      <c r="CU81" s="60">
        <f t="shared" si="439"/>
        <v>0</v>
      </c>
      <c r="CV81" s="60">
        <f t="shared" si="440"/>
        <v>0</v>
      </c>
      <c r="CW81" s="60">
        <f t="shared" si="441"/>
        <v>38.437767808925258</v>
      </c>
      <c r="CX81" s="60">
        <f t="shared" si="442"/>
        <v>9.3481815383159819E-2</v>
      </c>
      <c r="CY81" s="60">
        <f t="shared" si="443"/>
        <v>0.56389148884279428</v>
      </c>
      <c r="CZ81" s="60">
        <f t="shared" si="444"/>
        <v>2.224621140335199</v>
      </c>
      <c r="DA81" s="60">
        <f t="shared" si="445"/>
        <v>43.071957227016426</v>
      </c>
      <c r="DB81" s="60">
        <f t="shared" si="446"/>
        <v>0</v>
      </c>
      <c r="DC81" s="60">
        <f t="shared" si="447"/>
        <v>0</v>
      </c>
      <c r="DD81" s="60">
        <f t="shared" si="448"/>
        <v>0</v>
      </c>
      <c r="DE81" s="60">
        <f t="shared" si="449"/>
        <v>0</v>
      </c>
      <c r="DF81" s="55"/>
      <c r="DG81" s="60">
        <f t="shared" si="450"/>
        <v>0</v>
      </c>
      <c r="DH81" s="60">
        <f t="shared" si="451"/>
        <v>0</v>
      </c>
      <c r="DI81" s="60">
        <f t="shared" si="452"/>
        <v>0</v>
      </c>
      <c r="DJ81" s="60">
        <f t="shared" si="453"/>
        <v>0</v>
      </c>
      <c r="DK81" s="60">
        <f t="shared" si="454"/>
        <v>0</v>
      </c>
      <c r="DL81" s="60">
        <f t="shared" si="455"/>
        <v>6.7138260925289348</v>
      </c>
      <c r="DM81" s="60">
        <f t="shared" si="456"/>
        <v>0</v>
      </c>
      <c r="DN81" s="60">
        <f t="shared" si="457"/>
        <v>0</v>
      </c>
      <c r="DO81" s="60">
        <f t="shared" si="458"/>
        <v>0</v>
      </c>
      <c r="DP81" s="60">
        <f t="shared" si="459"/>
        <v>0</v>
      </c>
      <c r="DQ81" s="60">
        <f t="shared" si="460"/>
        <v>0</v>
      </c>
      <c r="DR81" s="60">
        <f t="shared" si="461"/>
        <v>0</v>
      </c>
      <c r="DS81" s="60">
        <f t="shared" si="462"/>
        <v>0</v>
      </c>
      <c r="DT81" s="60">
        <f t="shared" si="463"/>
        <v>0</v>
      </c>
      <c r="DU81" s="60">
        <f t="shared" si="464"/>
        <v>0</v>
      </c>
      <c r="DV81" s="60">
        <f t="shared" si="465"/>
        <v>0</v>
      </c>
      <c r="DW81" s="60"/>
      <c r="DX81" s="60" t="e">
        <f t="shared" ca="1" si="466"/>
        <v>#NAME?</v>
      </c>
    </row>
    <row r="82" spans="1:128" s="19" customFormat="1" ht="16" customHeight="1">
      <c r="A82" s="18"/>
      <c r="B82" s="17" t="s">
        <v>442</v>
      </c>
      <c r="C82" s="109" t="s">
        <v>461</v>
      </c>
      <c r="D82" s="16"/>
      <c r="E82" s="16"/>
      <c r="F82" s="16"/>
      <c r="G82" s="16"/>
      <c r="H82" s="20">
        <v>15.213466010760216</v>
      </c>
      <c r="I82" s="20">
        <v>0</v>
      </c>
      <c r="J82" s="20">
        <v>2.7784341667629744</v>
      </c>
      <c r="K82" s="20">
        <v>0</v>
      </c>
      <c r="L82" s="20">
        <v>0.40327297576291832</v>
      </c>
      <c r="M82" s="20"/>
      <c r="N82" s="20">
        <v>0</v>
      </c>
      <c r="O82" s="20">
        <v>8.885113290312395E-2</v>
      </c>
      <c r="P82" s="20">
        <v>0</v>
      </c>
      <c r="Q82" s="20">
        <v>0</v>
      </c>
      <c r="R82" s="20">
        <v>2.1091383913784449</v>
      </c>
      <c r="S82" s="20">
        <v>0.16103014856319742</v>
      </c>
      <c r="T82" s="20">
        <v>0.61545638720285378</v>
      </c>
      <c r="U82" s="20">
        <v>1.5537859730292582</v>
      </c>
      <c r="V82" s="20">
        <v>0</v>
      </c>
      <c r="W82" s="20">
        <v>0</v>
      </c>
      <c r="X82" s="20">
        <v>0</v>
      </c>
      <c r="Y82" s="20">
        <v>68.318585983057375</v>
      </c>
      <c r="Z82" s="20">
        <v>0</v>
      </c>
      <c r="AA82" s="20">
        <v>0</v>
      </c>
      <c r="AB82" s="55"/>
      <c r="AC82" s="20">
        <v>0</v>
      </c>
      <c r="AD82" s="20">
        <v>0</v>
      </c>
      <c r="AE82" s="20">
        <v>0</v>
      </c>
      <c r="AF82" s="20">
        <v>0</v>
      </c>
      <c r="AG82" s="20">
        <v>0</v>
      </c>
      <c r="AH82" s="20">
        <v>2.9912364254603898</v>
      </c>
      <c r="AI82" s="20">
        <v>0</v>
      </c>
      <c r="AJ82" s="20">
        <v>5.7667424051192455</v>
      </c>
      <c r="AK82" s="20">
        <v>0</v>
      </c>
      <c r="AL82" s="20">
        <v>0</v>
      </c>
      <c r="AM82" s="20">
        <v>0</v>
      </c>
      <c r="AN82" s="20">
        <v>0</v>
      </c>
      <c r="AO82" s="20">
        <v>0</v>
      </c>
      <c r="AP82" s="20">
        <v>0</v>
      </c>
      <c r="AQ82" s="20">
        <v>0</v>
      </c>
      <c r="AR82" s="20">
        <v>0</v>
      </c>
      <c r="AS82" s="55"/>
      <c r="AT82"/>
      <c r="AU82" s="20">
        <v>0</v>
      </c>
      <c r="AV82" s="20"/>
      <c r="AW82" s="11">
        <f t="shared" si="393"/>
        <v>13.851385138513853</v>
      </c>
      <c r="AX82" s="11">
        <f t="shared" si="394"/>
        <v>0</v>
      </c>
      <c r="AY82" s="11">
        <f t="shared" si="395"/>
        <v>2.4302430243024302</v>
      </c>
      <c r="AZ82" s="11">
        <f t="shared" si="396"/>
        <v>0</v>
      </c>
      <c r="BA82" s="11">
        <f t="shared" si="397"/>
        <v>0.7300730073007301</v>
      </c>
      <c r="BB82" s="11">
        <f t="shared" si="398"/>
        <v>0</v>
      </c>
      <c r="BC82" s="11">
        <f t="shared" si="399"/>
        <v>0</v>
      </c>
      <c r="BD82" s="11">
        <f t="shared" si="400"/>
        <v>7.0007000700070002E-2</v>
      </c>
      <c r="BE82" s="11">
        <f t="shared" si="401"/>
        <v>0</v>
      </c>
      <c r="BF82" s="11">
        <f t="shared" si="402"/>
        <v>0</v>
      </c>
      <c r="BG82" s="11">
        <f t="shared" si="403"/>
        <v>2.7402740274027413</v>
      </c>
      <c r="BH82" s="11">
        <f t="shared" si="404"/>
        <v>0.12001200120012001</v>
      </c>
      <c r="BI82" s="11">
        <f t="shared" si="405"/>
        <v>0.78007800780078018</v>
      </c>
      <c r="BJ82" s="56">
        <f t="shared" si="406"/>
        <v>1.5601560156015597</v>
      </c>
      <c r="BK82" s="11">
        <f t="shared" si="407"/>
        <v>0</v>
      </c>
      <c r="BL82" s="34">
        <f t="shared" si="408"/>
        <v>0</v>
      </c>
      <c r="BM82" s="11">
        <f t="shared" si="409"/>
        <v>0</v>
      </c>
      <c r="BN82" s="11">
        <f t="shared" si="410"/>
        <v>0</v>
      </c>
      <c r="BO82" s="11">
        <f t="shared" si="411"/>
        <v>35.433543354335434</v>
      </c>
      <c r="BP82" s="11">
        <f t="shared" si="412"/>
        <v>0</v>
      </c>
      <c r="BQ82" s="54"/>
      <c r="BR82" s="56">
        <f t="shared" si="413"/>
        <v>0</v>
      </c>
      <c r="BS82" s="56">
        <f t="shared" si="414"/>
        <v>0</v>
      </c>
      <c r="BT82" s="56">
        <f t="shared" si="415"/>
        <v>0</v>
      </c>
      <c r="BU82" s="56">
        <f t="shared" si="416"/>
        <v>0</v>
      </c>
      <c r="BV82" s="56">
        <f t="shared" si="417"/>
        <v>0</v>
      </c>
      <c r="BW82" s="56">
        <f t="shared" si="418"/>
        <v>20.092009200920092</v>
      </c>
      <c r="BX82" s="56">
        <f t="shared" si="419"/>
        <v>0</v>
      </c>
      <c r="BY82" s="56">
        <f t="shared" si="420"/>
        <v>22.192219221922194</v>
      </c>
      <c r="BZ82" s="56">
        <f t="shared" si="421"/>
        <v>0</v>
      </c>
      <c r="CA82" s="56">
        <f t="shared" si="422"/>
        <v>0</v>
      </c>
      <c r="CB82" s="56">
        <f t="shared" si="423"/>
        <v>0</v>
      </c>
      <c r="CC82" s="56">
        <f t="shared" si="424"/>
        <v>0</v>
      </c>
      <c r="CD82" s="56">
        <f t="shared" si="425"/>
        <v>0</v>
      </c>
      <c r="CE82" s="56">
        <f t="shared" si="426"/>
        <v>0</v>
      </c>
      <c r="CF82" s="56">
        <f t="shared" si="427"/>
        <v>0</v>
      </c>
      <c r="CG82" s="56">
        <f t="shared" si="428"/>
        <v>0</v>
      </c>
      <c r="CH82" s="54"/>
      <c r="CI82" s="11"/>
      <c r="CJ82" s="12" t="e">
        <f t="shared" ca="1" si="429"/>
        <v>#NAME?</v>
      </c>
      <c r="CK82" s="16"/>
      <c r="CL82" s="60">
        <f t="shared" si="430"/>
        <v>31.657682482735012</v>
      </c>
      <c r="CM82" s="60">
        <f t="shared" si="431"/>
        <v>0</v>
      </c>
      <c r="CN82" s="60">
        <f t="shared" si="432"/>
        <v>4.9056472297756031</v>
      </c>
      <c r="CO82" s="60">
        <f t="shared" si="433"/>
        <v>0</v>
      </c>
      <c r="CP82" s="60">
        <f t="shared" si="434"/>
        <v>0</v>
      </c>
      <c r="CQ82" s="60">
        <f t="shared" si="435"/>
        <v>1.0034176525626124</v>
      </c>
      <c r="CR82" s="60">
        <f t="shared" si="436"/>
        <v>1.0034176525626124</v>
      </c>
      <c r="CS82" s="60">
        <f t="shared" si="437"/>
        <v>0</v>
      </c>
      <c r="CT82" s="60">
        <f t="shared" si="438"/>
        <v>0.12402328570566595</v>
      </c>
      <c r="CU82" s="60">
        <f t="shared" si="439"/>
        <v>0</v>
      </c>
      <c r="CV82" s="60">
        <f t="shared" si="440"/>
        <v>0</v>
      </c>
      <c r="CW82" s="60">
        <f t="shared" si="441"/>
        <v>4.0962076248703072</v>
      </c>
      <c r="CX82" s="60">
        <f t="shared" si="442"/>
        <v>0.17282790906110618</v>
      </c>
      <c r="CY82" s="60">
        <f t="shared" si="443"/>
        <v>1.0039032528807139</v>
      </c>
      <c r="CZ82" s="60">
        <f t="shared" si="444"/>
        <v>3.8190743616805007</v>
      </c>
      <c r="DA82" s="60">
        <f t="shared" si="445"/>
        <v>0</v>
      </c>
      <c r="DB82" s="60">
        <f t="shared" si="446"/>
        <v>0</v>
      </c>
      <c r="DC82" s="60">
        <f t="shared" si="447"/>
        <v>0</v>
      </c>
      <c r="DD82" s="60">
        <f t="shared" si="448"/>
        <v>0</v>
      </c>
      <c r="DE82" s="60">
        <f t="shared" si="449"/>
        <v>0</v>
      </c>
      <c r="DF82" s="55"/>
      <c r="DG82" s="60">
        <f t="shared" si="450"/>
        <v>0</v>
      </c>
      <c r="DH82" s="60">
        <f t="shared" si="451"/>
        <v>0</v>
      </c>
      <c r="DI82" s="60">
        <f t="shared" si="452"/>
        <v>0</v>
      </c>
      <c r="DJ82" s="60">
        <f t="shared" si="453"/>
        <v>0</v>
      </c>
      <c r="DK82" s="60">
        <f t="shared" si="454"/>
        <v>0</v>
      </c>
      <c r="DL82" s="60">
        <f t="shared" si="455"/>
        <v>23.12153234701978</v>
      </c>
      <c r="DM82" s="60">
        <f t="shared" si="456"/>
        <v>0</v>
      </c>
      <c r="DN82" s="60">
        <f t="shared" si="457"/>
        <v>30.095683853708689</v>
      </c>
      <c r="DO82" s="60">
        <f t="shared" si="458"/>
        <v>0</v>
      </c>
      <c r="DP82" s="60">
        <f t="shared" si="459"/>
        <v>0</v>
      </c>
      <c r="DQ82" s="60">
        <f t="shared" si="460"/>
        <v>0</v>
      </c>
      <c r="DR82" s="60">
        <f t="shared" si="461"/>
        <v>0</v>
      </c>
      <c r="DS82" s="60">
        <f t="shared" si="462"/>
        <v>0</v>
      </c>
      <c r="DT82" s="60">
        <f t="shared" si="463"/>
        <v>0</v>
      </c>
      <c r="DU82" s="60">
        <f t="shared" si="464"/>
        <v>0</v>
      </c>
      <c r="DV82" s="60">
        <f t="shared" si="465"/>
        <v>0</v>
      </c>
      <c r="DW82" s="60"/>
      <c r="DX82" s="60" t="e">
        <f t="shared" ca="1" si="466"/>
        <v>#NAME?</v>
      </c>
    </row>
    <row r="83" spans="1:128" s="19" customFormat="1" ht="16" customHeight="1">
      <c r="A83" s="18"/>
      <c r="B83" s="17" t="s">
        <v>443</v>
      </c>
      <c r="C83" s="109" t="s">
        <v>461</v>
      </c>
      <c r="D83" s="16"/>
      <c r="E83" s="16"/>
      <c r="F83" s="16"/>
      <c r="G83" s="16"/>
      <c r="H83" s="20">
        <v>3.7040175168168603</v>
      </c>
      <c r="I83" s="20">
        <v>0</v>
      </c>
      <c r="J83" s="20">
        <v>0.37513643829524357</v>
      </c>
      <c r="K83" s="20">
        <v>0</v>
      </c>
      <c r="L83" s="20">
        <v>0</v>
      </c>
      <c r="M83" s="20"/>
      <c r="N83" s="20">
        <v>0</v>
      </c>
      <c r="O83" s="20">
        <v>1.0411189508521097</v>
      </c>
      <c r="P83" s="20">
        <v>0</v>
      </c>
      <c r="Q83" s="20">
        <v>0</v>
      </c>
      <c r="R83" s="20">
        <v>2.9464339987561532</v>
      </c>
      <c r="S83" s="20">
        <v>0.26905529354293378</v>
      </c>
      <c r="T83" s="20">
        <v>0.38831963692222715</v>
      </c>
      <c r="U83" s="20">
        <v>0.70803400053242216</v>
      </c>
      <c r="V83" s="20">
        <v>0</v>
      </c>
      <c r="W83" s="20">
        <v>0</v>
      </c>
      <c r="X83" s="20">
        <v>0</v>
      </c>
      <c r="Y83" s="20">
        <v>69.591438741187758</v>
      </c>
      <c r="Z83" s="20">
        <v>0</v>
      </c>
      <c r="AA83" s="20">
        <v>0</v>
      </c>
      <c r="AB83" s="55"/>
      <c r="AC83" s="20">
        <v>0</v>
      </c>
      <c r="AD83" s="20">
        <v>0</v>
      </c>
      <c r="AE83" s="20">
        <v>0</v>
      </c>
      <c r="AF83" s="20">
        <v>0</v>
      </c>
      <c r="AG83" s="20">
        <v>0</v>
      </c>
      <c r="AH83" s="20">
        <v>19.436946039414231</v>
      </c>
      <c r="AI83" s="20">
        <v>0</v>
      </c>
      <c r="AJ83" s="20">
        <v>1.539499383680055</v>
      </c>
      <c r="AK83" s="20">
        <v>0</v>
      </c>
      <c r="AL83" s="20">
        <v>0</v>
      </c>
      <c r="AM83" s="20">
        <v>0</v>
      </c>
      <c r="AN83" s="20">
        <v>0</v>
      </c>
      <c r="AO83" s="20">
        <v>0</v>
      </c>
      <c r="AP83" s="20">
        <v>0</v>
      </c>
      <c r="AQ83" s="20">
        <v>0</v>
      </c>
      <c r="AR83" s="20">
        <v>0</v>
      </c>
      <c r="AS83" s="55"/>
      <c r="AT83"/>
      <c r="AU83" s="20">
        <v>0</v>
      </c>
      <c r="AV83" s="20"/>
      <c r="AW83" s="11">
        <f t="shared" si="393"/>
        <v>1.8496300739852027</v>
      </c>
      <c r="AX83" s="11">
        <f t="shared" si="394"/>
        <v>0</v>
      </c>
      <c r="AY83" s="11">
        <f t="shared" si="395"/>
        <v>0.17996400719856023</v>
      </c>
      <c r="AZ83" s="11">
        <f t="shared" si="396"/>
        <v>0</v>
      </c>
      <c r="BA83" s="11">
        <f t="shared" si="397"/>
        <v>0</v>
      </c>
      <c r="BB83" s="11">
        <f t="shared" si="398"/>
        <v>0</v>
      </c>
      <c r="BC83" s="11">
        <f t="shared" si="399"/>
        <v>0</v>
      </c>
      <c r="BD83" s="11">
        <f t="shared" si="400"/>
        <v>0.44991001799640068</v>
      </c>
      <c r="BE83" s="11">
        <f t="shared" si="401"/>
        <v>0</v>
      </c>
      <c r="BF83" s="11">
        <f t="shared" si="402"/>
        <v>0</v>
      </c>
      <c r="BG83" s="11">
        <f t="shared" si="403"/>
        <v>2.0995800839832031</v>
      </c>
      <c r="BH83" s="11">
        <f t="shared" si="404"/>
        <v>0.10997800439912016</v>
      </c>
      <c r="BI83" s="11">
        <f t="shared" si="405"/>
        <v>0.26994601079784042</v>
      </c>
      <c r="BJ83" s="56">
        <f t="shared" si="406"/>
        <v>0.3899220155968805</v>
      </c>
      <c r="BK83" s="11">
        <f t="shared" si="407"/>
        <v>0</v>
      </c>
      <c r="BL83" s="34">
        <f t="shared" si="408"/>
        <v>0</v>
      </c>
      <c r="BM83" s="11">
        <f t="shared" si="409"/>
        <v>0</v>
      </c>
      <c r="BN83" s="11">
        <f t="shared" si="410"/>
        <v>0</v>
      </c>
      <c r="BO83" s="11">
        <f t="shared" si="411"/>
        <v>19.79604079184163</v>
      </c>
      <c r="BP83" s="11">
        <f t="shared" si="412"/>
        <v>0</v>
      </c>
      <c r="BQ83" s="54"/>
      <c r="BR83" s="56">
        <f t="shared" si="413"/>
        <v>0</v>
      </c>
      <c r="BS83" s="56">
        <f t="shared" si="414"/>
        <v>0</v>
      </c>
      <c r="BT83" s="56">
        <f t="shared" si="415"/>
        <v>0</v>
      </c>
      <c r="BU83" s="56">
        <f t="shared" si="416"/>
        <v>0</v>
      </c>
      <c r="BV83" s="56">
        <f t="shared" si="417"/>
        <v>0</v>
      </c>
      <c r="BW83" s="56">
        <f t="shared" si="418"/>
        <v>71.605678864227144</v>
      </c>
      <c r="BX83" s="56">
        <f t="shared" si="419"/>
        <v>0</v>
      </c>
      <c r="BY83" s="56">
        <f t="shared" si="420"/>
        <v>3.2493501299740042</v>
      </c>
      <c r="BZ83" s="56">
        <f t="shared" si="421"/>
        <v>0</v>
      </c>
      <c r="CA83" s="56">
        <f t="shared" si="422"/>
        <v>0</v>
      </c>
      <c r="CB83" s="56">
        <f t="shared" si="423"/>
        <v>0</v>
      </c>
      <c r="CC83" s="56">
        <f t="shared" si="424"/>
        <v>0</v>
      </c>
      <c r="CD83" s="56">
        <f t="shared" si="425"/>
        <v>0</v>
      </c>
      <c r="CE83" s="56">
        <f t="shared" si="426"/>
        <v>0</v>
      </c>
      <c r="CF83" s="56">
        <f t="shared" si="427"/>
        <v>0</v>
      </c>
      <c r="CG83" s="56">
        <f t="shared" si="428"/>
        <v>0</v>
      </c>
      <c r="CH83" s="54"/>
      <c r="CI83" s="11"/>
      <c r="CJ83" s="12" t="e">
        <f t="shared" ca="1" si="429"/>
        <v>#NAME?</v>
      </c>
      <c r="CK83" s="16"/>
      <c r="CL83" s="60">
        <f t="shared" si="430"/>
        <v>4.3673228027269246</v>
      </c>
      <c r="CM83" s="60">
        <f t="shared" si="431"/>
        <v>0</v>
      </c>
      <c r="CN83" s="60">
        <f t="shared" si="432"/>
        <v>0.37529844518250977</v>
      </c>
      <c r="CO83" s="60">
        <f t="shared" si="433"/>
        <v>0</v>
      </c>
      <c r="CP83" s="60">
        <f t="shared" si="434"/>
        <v>0</v>
      </c>
      <c r="CQ83" s="60">
        <f t="shared" si="435"/>
        <v>0</v>
      </c>
      <c r="CR83" s="60">
        <f t="shared" si="436"/>
        <v>0</v>
      </c>
      <c r="CS83" s="60">
        <f t="shared" si="437"/>
        <v>0</v>
      </c>
      <c r="CT83" s="60">
        <f t="shared" si="438"/>
        <v>0.823439935585632</v>
      </c>
      <c r="CU83" s="60">
        <f t="shared" si="439"/>
        <v>0</v>
      </c>
      <c r="CV83" s="60">
        <f t="shared" si="440"/>
        <v>0</v>
      </c>
      <c r="CW83" s="60">
        <f t="shared" si="441"/>
        <v>3.2423874729110134</v>
      </c>
      <c r="CX83" s="60">
        <f t="shared" si="442"/>
        <v>0.16362118516562912</v>
      </c>
      <c r="CY83" s="60">
        <f t="shared" si="443"/>
        <v>0.35890147416701873</v>
      </c>
      <c r="CZ83" s="60">
        <f t="shared" si="444"/>
        <v>0.98608043640087861</v>
      </c>
      <c r="DA83" s="60">
        <f t="shared" si="445"/>
        <v>0</v>
      </c>
      <c r="DB83" s="60">
        <f t="shared" si="446"/>
        <v>0</v>
      </c>
      <c r="DC83" s="60">
        <f t="shared" si="447"/>
        <v>0</v>
      </c>
      <c r="DD83" s="60">
        <f t="shared" si="448"/>
        <v>0</v>
      </c>
      <c r="DE83" s="60">
        <f t="shared" si="449"/>
        <v>0</v>
      </c>
      <c r="DF83" s="55"/>
      <c r="DG83" s="60">
        <f t="shared" si="450"/>
        <v>0</v>
      </c>
      <c r="DH83" s="60">
        <f t="shared" si="451"/>
        <v>0</v>
      </c>
      <c r="DI83" s="60">
        <f t="shared" si="452"/>
        <v>0</v>
      </c>
      <c r="DJ83" s="60">
        <f t="shared" si="453"/>
        <v>0</v>
      </c>
      <c r="DK83" s="60">
        <f t="shared" si="454"/>
        <v>0</v>
      </c>
      <c r="DL83" s="60">
        <f t="shared" si="455"/>
        <v>85.130505485903868</v>
      </c>
      <c r="DM83" s="60">
        <f t="shared" si="456"/>
        <v>0</v>
      </c>
      <c r="DN83" s="60">
        <f t="shared" si="457"/>
        <v>4.552442761956514</v>
      </c>
      <c r="DO83" s="60">
        <f t="shared" si="458"/>
        <v>0</v>
      </c>
      <c r="DP83" s="60">
        <f t="shared" si="459"/>
        <v>0</v>
      </c>
      <c r="DQ83" s="60">
        <f t="shared" si="460"/>
        <v>0</v>
      </c>
      <c r="DR83" s="60">
        <f t="shared" si="461"/>
        <v>0</v>
      </c>
      <c r="DS83" s="60">
        <f t="shared" si="462"/>
        <v>0</v>
      </c>
      <c r="DT83" s="60">
        <f t="shared" si="463"/>
        <v>0</v>
      </c>
      <c r="DU83" s="60">
        <f t="shared" si="464"/>
        <v>0</v>
      </c>
      <c r="DV83" s="60">
        <f t="shared" si="465"/>
        <v>0</v>
      </c>
      <c r="DW83" s="60"/>
      <c r="DX83" s="60" t="e">
        <f t="shared" ca="1" si="466"/>
        <v>#NAME?</v>
      </c>
    </row>
    <row r="84" spans="1:128" s="19" customFormat="1" ht="16" customHeight="1">
      <c r="A84" s="18"/>
      <c r="B84" s="17" t="s">
        <v>444</v>
      </c>
      <c r="C84" s="109" t="s">
        <v>461</v>
      </c>
      <c r="D84" s="16"/>
      <c r="E84" s="16"/>
      <c r="F84" s="16"/>
      <c r="G84" s="16"/>
      <c r="H84" s="20">
        <v>10.824525927165926</v>
      </c>
      <c r="I84" s="20">
        <v>0</v>
      </c>
      <c r="J84" s="20">
        <v>0.84173356388127585</v>
      </c>
      <c r="K84" s="20">
        <v>0</v>
      </c>
      <c r="L84" s="20">
        <v>0.242583427931017</v>
      </c>
      <c r="M84" s="20"/>
      <c r="N84" s="20">
        <v>0</v>
      </c>
      <c r="O84" s="20">
        <v>3.0163984196384268</v>
      </c>
      <c r="P84" s="20">
        <v>0</v>
      </c>
      <c r="Q84" s="20">
        <v>0</v>
      </c>
      <c r="R84" s="20">
        <v>3.3801765389509559</v>
      </c>
      <c r="S84" s="20">
        <v>0.24263862439303918</v>
      </c>
      <c r="T84" s="20">
        <v>0.38725071561460278</v>
      </c>
      <c r="U84" s="20">
        <v>2.1482707790841848</v>
      </c>
      <c r="V84" s="20">
        <v>0</v>
      </c>
      <c r="W84" s="20">
        <v>0</v>
      </c>
      <c r="X84" s="20">
        <v>0</v>
      </c>
      <c r="Y84" s="20">
        <v>65.94648455762794</v>
      </c>
      <c r="Z84" s="20">
        <v>0</v>
      </c>
      <c r="AA84" s="20">
        <v>0</v>
      </c>
      <c r="AB84" s="55"/>
      <c r="AC84" s="20">
        <v>0</v>
      </c>
      <c r="AD84" s="20">
        <v>0</v>
      </c>
      <c r="AE84" s="20">
        <v>0</v>
      </c>
      <c r="AF84" s="20">
        <v>0</v>
      </c>
      <c r="AG84" s="20">
        <v>0</v>
      </c>
      <c r="AH84" s="20">
        <v>8.5092254617127274</v>
      </c>
      <c r="AI84" s="20">
        <v>0</v>
      </c>
      <c r="AJ84" s="20">
        <v>4.4607119839999001</v>
      </c>
      <c r="AK84" s="20">
        <v>0</v>
      </c>
      <c r="AL84" s="20">
        <v>0</v>
      </c>
      <c r="AM84" s="20">
        <v>0</v>
      </c>
      <c r="AN84" s="20">
        <v>0</v>
      </c>
      <c r="AO84" s="20">
        <v>0</v>
      </c>
      <c r="AP84" s="20">
        <v>0</v>
      </c>
      <c r="AQ84" s="20">
        <v>0</v>
      </c>
      <c r="AR84" s="20">
        <v>0</v>
      </c>
      <c r="AS84" s="55"/>
      <c r="AT84"/>
      <c r="AU84" s="20">
        <v>0</v>
      </c>
      <c r="AV84" s="20"/>
      <c r="AW84" s="11">
        <f t="shared" si="393"/>
        <v>7.6307630763076313</v>
      </c>
      <c r="AX84" s="11">
        <f t="shared" si="394"/>
        <v>0</v>
      </c>
      <c r="AY84" s="11">
        <f t="shared" si="395"/>
        <v>0.57005700570057016</v>
      </c>
      <c r="AZ84" s="11">
        <f t="shared" si="396"/>
        <v>0</v>
      </c>
      <c r="BA84" s="11">
        <f t="shared" si="397"/>
        <v>0.34003400340034007</v>
      </c>
      <c r="BB84" s="11">
        <f t="shared" si="398"/>
        <v>0</v>
      </c>
      <c r="BC84" s="11">
        <f t="shared" si="399"/>
        <v>0</v>
      </c>
      <c r="BD84" s="11">
        <f t="shared" si="400"/>
        <v>1.8401840184018408</v>
      </c>
      <c r="BE84" s="11">
        <f t="shared" si="401"/>
        <v>0</v>
      </c>
      <c r="BF84" s="11">
        <f t="shared" si="402"/>
        <v>0</v>
      </c>
      <c r="BG84" s="11">
        <f t="shared" si="403"/>
        <v>3.4003400340033996</v>
      </c>
      <c r="BH84" s="11">
        <f t="shared" si="404"/>
        <v>0.14001400140014</v>
      </c>
      <c r="BI84" s="11">
        <f t="shared" si="405"/>
        <v>0.38003800380038</v>
      </c>
      <c r="BJ84" s="56">
        <f t="shared" si="406"/>
        <v>1.6701670167016698</v>
      </c>
      <c r="BK84" s="11">
        <f t="shared" si="407"/>
        <v>0</v>
      </c>
      <c r="BL84" s="34">
        <f t="shared" si="408"/>
        <v>0</v>
      </c>
      <c r="BM84" s="11">
        <f t="shared" si="409"/>
        <v>0</v>
      </c>
      <c r="BN84" s="11">
        <f t="shared" si="410"/>
        <v>0</v>
      </c>
      <c r="BO84" s="11">
        <f t="shared" si="411"/>
        <v>26.482648264826487</v>
      </c>
      <c r="BP84" s="11">
        <f t="shared" si="412"/>
        <v>0</v>
      </c>
      <c r="BQ84" s="54"/>
      <c r="BR84" s="56">
        <f t="shared" si="413"/>
        <v>0</v>
      </c>
      <c r="BS84" s="56">
        <f t="shared" si="414"/>
        <v>0</v>
      </c>
      <c r="BT84" s="56">
        <f t="shared" si="415"/>
        <v>0</v>
      </c>
      <c r="BU84" s="56">
        <f t="shared" si="416"/>
        <v>0</v>
      </c>
      <c r="BV84" s="56">
        <f t="shared" si="417"/>
        <v>0</v>
      </c>
      <c r="BW84" s="56">
        <f t="shared" si="418"/>
        <v>44.254425442544253</v>
      </c>
      <c r="BX84" s="56">
        <f t="shared" si="419"/>
        <v>0</v>
      </c>
      <c r="BY84" s="56">
        <f t="shared" si="420"/>
        <v>13.291329132913292</v>
      </c>
      <c r="BZ84" s="56">
        <f t="shared" si="421"/>
        <v>0</v>
      </c>
      <c r="CA84" s="56">
        <f t="shared" si="422"/>
        <v>0</v>
      </c>
      <c r="CB84" s="56">
        <f t="shared" si="423"/>
        <v>0</v>
      </c>
      <c r="CC84" s="56">
        <f t="shared" si="424"/>
        <v>0</v>
      </c>
      <c r="CD84" s="56">
        <f t="shared" si="425"/>
        <v>0</v>
      </c>
      <c r="CE84" s="56">
        <f t="shared" si="426"/>
        <v>0</v>
      </c>
      <c r="CF84" s="56">
        <f t="shared" si="427"/>
        <v>0</v>
      </c>
      <c r="CG84" s="56">
        <f t="shared" si="428"/>
        <v>0</v>
      </c>
      <c r="CH84" s="54"/>
      <c r="CI84" s="11"/>
      <c r="CJ84" s="12" t="e">
        <f t="shared" ca="1" si="429"/>
        <v>#NAME?</v>
      </c>
      <c r="CK84" s="16"/>
      <c r="CL84" s="60">
        <f t="shared" si="430"/>
        <v>17.245008731492799</v>
      </c>
      <c r="CM84" s="60">
        <f t="shared" si="431"/>
        <v>0</v>
      </c>
      <c r="CN84" s="60">
        <f t="shared" si="432"/>
        <v>1.1378222748988378</v>
      </c>
      <c r="CO84" s="60">
        <f t="shared" si="433"/>
        <v>0</v>
      </c>
      <c r="CP84" s="60">
        <f t="shared" si="434"/>
        <v>0</v>
      </c>
      <c r="CQ84" s="60">
        <f t="shared" si="435"/>
        <v>0.46211208808081861</v>
      </c>
      <c r="CR84" s="60">
        <f t="shared" si="436"/>
        <v>0.46211208808081861</v>
      </c>
      <c r="CS84" s="60">
        <f t="shared" si="437"/>
        <v>0</v>
      </c>
      <c r="CT84" s="60">
        <f t="shared" si="438"/>
        <v>3.2235361941950451</v>
      </c>
      <c r="CU84" s="60">
        <f t="shared" si="439"/>
        <v>0</v>
      </c>
      <c r="CV84" s="60">
        <f t="shared" si="440"/>
        <v>0</v>
      </c>
      <c r="CW84" s="60">
        <f t="shared" si="441"/>
        <v>5.025969525732858</v>
      </c>
      <c r="CX84" s="60">
        <f t="shared" si="442"/>
        <v>0.19937477048472463</v>
      </c>
      <c r="CY84" s="60">
        <f t="shared" si="443"/>
        <v>0.48360456359551146</v>
      </c>
      <c r="CZ84" s="60">
        <f t="shared" si="444"/>
        <v>4.0425883728306289</v>
      </c>
      <c r="DA84" s="60">
        <f t="shared" si="445"/>
        <v>0</v>
      </c>
      <c r="DB84" s="60">
        <f t="shared" si="446"/>
        <v>0</v>
      </c>
      <c r="DC84" s="60">
        <f t="shared" si="447"/>
        <v>0</v>
      </c>
      <c r="DD84" s="60">
        <f t="shared" si="448"/>
        <v>0</v>
      </c>
      <c r="DE84" s="60">
        <f t="shared" si="449"/>
        <v>0</v>
      </c>
      <c r="DF84" s="55"/>
      <c r="DG84" s="60">
        <f t="shared" si="450"/>
        <v>0</v>
      </c>
      <c r="DH84" s="60">
        <f t="shared" si="451"/>
        <v>0</v>
      </c>
      <c r="DI84" s="60">
        <f t="shared" si="452"/>
        <v>0</v>
      </c>
      <c r="DJ84" s="60">
        <f t="shared" si="453"/>
        <v>0</v>
      </c>
      <c r="DK84" s="60">
        <f t="shared" si="454"/>
        <v>0</v>
      </c>
      <c r="DL84" s="60">
        <f t="shared" si="455"/>
        <v>50.356957918954983</v>
      </c>
      <c r="DM84" s="60">
        <f t="shared" si="456"/>
        <v>0</v>
      </c>
      <c r="DN84" s="60">
        <f t="shared" si="457"/>
        <v>17.823025559733807</v>
      </c>
      <c r="DO84" s="60">
        <f t="shared" si="458"/>
        <v>0</v>
      </c>
      <c r="DP84" s="60">
        <f t="shared" si="459"/>
        <v>0</v>
      </c>
      <c r="DQ84" s="60">
        <f t="shared" si="460"/>
        <v>0</v>
      </c>
      <c r="DR84" s="60">
        <f t="shared" si="461"/>
        <v>0</v>
      </c>
      <c r="DS84" s="60">
        <f t="shared" si="462"/>
        <v>0</v>
      </c>
      <c r="DT84" s="60">
        <f t="shared" si="463"/>
        <v>0</v>
      </c>
      <c r="DU84" s="60">
        <f t="shared" si="464"/>
        <v>0</v>
      </c>
      <c r="DV84" s="60">
        <f t="shared" si="465"/>
        <v>0</v>
      </c>
      <c r="DW84" s="60"/>
      <c r="DX84" s="60" t="e">
        <f t="shared" ca="1" si="466"/>
        <v>#NAME?</v>
      </c>
    </row>
    <row r="85" spans="1:128" s="19" customFormat="1" ht="16" customHeight="1">
      <c r="A85" s="18"/>
      <c r="B85" s="17" t="s">
        <v>445</v>
      </c>
      <c r="C85" s="109" t="s">
        <v>461</v>
      </c>
      <c r="D85" s="16"/>
      <c r="E85" s="16"/>
      <c r="F85" s="16"/>
      <c r="G85" s="16"/>
      <c r="H85" s="20">
        <v>0</v>
      </c>
      <c r="I85" s="20">
        <v>0</v>
      </c>
      <c r="J85" s="20">
        <v>0</v>
      </c>
      <c r="K85" s="20">
        <v>0</v>
      </c>
      <c r="L85" s="20">
        <v>0</v>
      </c>
      <c r="M85" s="20"/>
      <c r="N85" s="20">
        <v>0</v>
      </c>
      <c r="O85" s="20">
        <v>0</v>
      </c>
      <c r="P85" s="20">
        <v>0</v>
      </c>
      <c r="Q85" s="20">
        <v>0</v>
      </c>
      <c r="R85" s="20">
        <v>0</v>
      </c>
      <c r="S85" s="20">
        <v>0</v>
      </c>
      <c r="T85" s="20">
        <v>0</v>
      </c>
      <c r="U85" s="20">
        <v>0</v>
      </c>
      <c r="V85" s="20">
        <v>0</v>
      </c>
      <c r="W85" s="20">
        <v>0</v>
      </c>
      <c r="X85" s="20">
        <v>0</v>
      </c>
      <c r="Y85" s="20">
        <v>0</v>
      </c>
      <c r="Z85" s="20">
        <v>0</v>
      </c>
      <c r="AA85" s="20">
        <v>0</v>
      </c>
      <c r="AB85" s="55"/>
      <c r="AC85" s="20">
        <v>0</v>
      </c>
      <c r="AD85" s="20">
        <v>0</v>
      </c>
      <c r="AE85" s="20">
        <v>0</v>
      </c>
      <c r="AF85" s="20">
        <v>0</v>
      </c>
      <c r="AG85" s="20">
        <v>0</v>
      </c>
      <c r="AH85" s="20">
        <v>100</v>
      </c>
      <c r="AI85" s="20">
        <v>0</v>
      </c>
      <c r="AJ85" s="20">
        <v>0</v>
      </c>
      <c r="AK85" s="20">
        <v>0</v>
      </c>
      <c r="AL85" s="20">
        <v>0</v>
      </c>
      <c r="AM85" s="20">
        <v>0</v>
      </c>
      <c r="AN85" s="20">
        <v>0</v>
      </c>
      <c r="AO85" s="20">
        <v>0</v>
      </c>
      <c r="AP85" s="20">
        <v>0</v>
      </c>
      <c r="AQ85" s="20">
        <v>0</v>
      </c>
      <c r="AR85" s="20">
        <v>0</v>
      </c>
      <c r="AS85" s="55"/>
      <c r="AT85"/>
      <c r="AU85" s="20">
        <v>0</v>
      </c>
      <c r="AV85" s="20"/>
      <c r="AW85" s="11">
        <f t="shared" si="393"/>
        <v>0</v>
      </c>
      <c r="AX85" s="11">
        <f t="shared" si="394"/>
        <v>0</v>
      </c>
      <c r="AY85" s="11">
        <f t="shared" si="395"/>
        <v>0</v>
      </c>
      <c r="AZ85" s="11">
        <f t="shared" si="396"/>
        <v>0</v>
      </c>
      <c r="BA85" s="11">
        <f t="shared" si="397"/>
        <v>0</v>
      </c>
      <c r="BB85" s="11">
        <f t="shared" si="398"/>
        <v>0</v>
      </c>
      <c r="BC85" s="11">
        <f t="shared" si="399"/>
        <v>0</v>
      </c>
      <c r="BD85" s="11">
        <f t="shared" si="400"/>
        <v>0</v>
      </c>
      <c r="BE85" s="11">
        <f t="shared" si="401"/>
        <v>0</v>
      </c>
      <c r="BF85" s="11">
        <f t="shared" si="402"/>
        <v>0</v>
      </c>
      <c r="BG85" s="11">
        <f t="shared" si="403"/>
        <v>0</v>
      </c>
      <c r="BH85" s="11">
        <f t="shared" si="404"/>
        <v>0</v>
      </c>
      <c r="BI85" s="11">
        <f t="shared" si="405"/>
        <v>0</v>
      </c>
      <c r="BJ85" s="56">
        <f t="shared" si="406"/>
        <v>0</v>
      </c>
      <c r="BK85" s="11">
        <f t="shared" si="407"/>
        <v>0</v>
      </c>
      <c r="BL85" s="34">
        <f t="shared" si="408"/>
        <v>0</v>
      </c>
      <c r="BM85" s="11">
        <f t="shared" si="409"/>
        <v>0</v>
      </c>
      <c r="BN85" s="11">
        <f t="shared" si="410"/>
        <v>0</v>
      </c>
      <c r="BO85" s="11">
        <f t="shared" si="411"/>
        <v>0</v>
      </c>
      <c r="BP85" s="11">
        <f t="shared" si="412"/>
        <v>0</v>
      </c>
      <c r="BQ85" s="54"/>
      <c r="BR85" s="56">
        <f t="shared" si="413"/>
        <v>0</v>
      </c>
      <c r="BS85" s="56">
        <f t="shared" si="414"/>
        <v>0</v>
      </c>
      <c r="BT85" s="56">
        <f t="shared" si="415"/>
        <v>0</v>
      </c>
      <c r="BU85" s="56">
        <f t="shared" si="416"/>
        <v>0</v>
      </c>
      <c r="BV85" s="56">
        <f t="shared" si="417"/>
        <v>0</v>
      </c>
      <c r="BW85" s="56">
        <f t="shared" si="418"/>
        <v>100</v>
      </c>
      <c r="BX85" s="56">
        <f t="shared" si="419"/>
        <v>0</v>
      </c>
      <c r="BY85" s="56">
        <f t="shared" si="420"/>
        <v>0</v>
      </c>
      <c r="BZ85" s="56">
        <f t="shared" si="421"/>
        <v>0</v>
      </c>
      <c r="CA85" s="56">
        <f t="shared" si="422"/>
        <v>0</v>
      </c>
      <c r="CB85" s="56">
        <f t="shared" si="423"/>
        <v>0</v>
      </c>
      <c r="CC85" s="56">
        <f t="shared" si="424"/>
        <v>0</v>
      </c>
      <c r="CD85" s="56">
        <f t="shared" si="425"/>
        <v>0</v>
      </c>
      <c r="CE85" s="56">
        <f t="shared" si="426"/>
        <v>0</v>
      </c>
      <c r="CF85" s="56">
        <f t="shared" si="427"/>
        <v>0</v>
      </c>
      <c r="CG85" s="56">
        <f t="shared" si="428"/>
        <v>0</v>
      </c>
      <c r="CH85" s="54"/>
      <c r="CI85" s="11"/>
      <c r="CJ85" s="12" t="e">
        <f t="shared" ca="1" si="429"/>
        <v>#NAME?</v>
      </c>
      <c r="CK85" s="16"/>
      <c r="CL85" s="60">
        <f t="shared" si="430"/>
        <v>0</v>
      </c>
      <c r="CM85" s="60">
        <f t="shared" si="431"/>
        <v>0</v>
      </c>
      <c r="CN85" s="60">
        <f t="shared" si="432"/>
        <v>0</v>
      </c>
      <c r="CO85" s="60">
        <f t="shared" si="433"/>
        <v>0</v>
      </c>
      <c r="CP85" s="60">
        <f t="shared" si="434"/>
        <v>0</v>
      </c>
      <c r="CQ85" s="60">
        <f t="shared" si="435"/>
        <v>0</v>
      </c>
      <c r="CR85" s="60">
        <f t="shared" si="436"/>
        <v>0</v>
      </c>
      <c r="CS85" s="60">
        <f t="shared" si="437"/>
        <v>0</v>
      </c>
      <c r="CT85" s="60">
        <f t="shared" si="438"/>
        <v>0</v>
      </c>
      <c r="CU85" s="60">
        <f t="shared" si="439"/>
        <v>0</v>
      </c>
      <c r="CV85" s="60">
        <f t="shared" si="440"/>
        <v>0</v>
      </c>
      <c r="CW85" s="60">
        <f t="shared" si="441"/>
        <v>0</v>
      </c>
      <c r="CX85" s="60">
        <f t="shared" si="442"/>
        <v>0</v>
      </c>
      <c r="CY85" s="60">
        <f t="shared" si="443"/>
        <v>0</v>
      </c>
      <c r="CZ85" s="60">
        <f t="shared" si="444"/>
        <v>0</v>
      </c>
      <c r="DA85" s="60">
        <f t="shared" si="445"/>
        <v>0</v>
      </c>
      <c r="DB85" s="60">
        <f t="shared" si="446"/>
        <v>0</v>
      </c>
      <c r="DC85" s="60">
        <f t="shared" si="447"/>
        <v>0</v>
      </c>
      <c r="DD85" s="60">
        <f t="shared" si="448"/>
        <v>0</v>
      </c>
      <c r="DE85" s="60">
        <f t="shared" si="449"/>
        <v>0</v>
      </c>
      <c r="DF85" s="55"/>
      <c r="DG85" s="60">
        <f t="shared" si="450"/>
        <v>0</v>
      </c>
      <c r="DH85" s="60">
        <f t="shared" si="451"/>
        <v>0</v>
      </c>
      <c r="DI85" s="60">
        <f t="shared" si="452"/>
        <v>0</v>
      </c>
      <c r="DJ85" s="60">
        <f t="shared" si="453"/>
        <v>0</v>
      </c>
      <c r="DK85" s="60">
        <f t="shared" si="454"/>
        <v>0</v>
      </c>
      <c r="DL85" s="60">
        <f t="shared" si="455"/>
        <v>100</v>
      </c>
      <c r="DM85" s="60">
        <f t="shared" si="456"/>
        <v>0</v>
      </c>
      <c r="DN85" s="60">
        <f t="shared" si="457"/>
        <v>0</v>
      </c>
      <c r="DO85" s="60">
        <f t="shared" si="458"/>
        <v>0</v>
      </c>
      <c r="DP85" s="60">
        <f t="shared" si="459"/>
        <v>0</v>
      </c>
      <c r="DQ85" s="60">
        <f t="shared" si="460"/>
        <v>0</v>
      </c>
      <c r="DR85" s="60">
        <f t="shared" si="461"/>
        <v>0</v>
      </c>
      <c r="DS85" s="60">
        <f t="shared" si="462"/>
        <v>0</v>
      </c>
      <c r="DT85" s="60">
        <f t="shared" si="463"/>
        <v>0</v>
      </c>
      <c r="DU85" s="60">
        <f t="shared" si="464"/>
        <v>0</v>
      </c>
      <c r="DV85" s="60">
        <f t="shared" si="465"/>
        <v>0</v>
      </c>
      <c r="DW85" s="60"/>
      <c r="DX85" s="60" t="e">
        <f t="shared" ca="1" si="466"/>
        <v>#NAME?</v>
      </c>
    </row>
    <row r="86" spans="1:128" s="19" customFormat="1" ht="16" customHeight="1">
      <c r="A86" s="18"/>
      <c r="B86" s="17" t="s">
        <v>446</v>
      </c>
      <c r="C86" s="109" t="s">
        <v>461</v>
      </c>
      <c r="D86" s="16"/>
      <c r="E86" s="16"/>
      <c r="F86" s="16"/>
      <c r="G86" s="16"/>
      <c r="H86" s="20">
        <v>35.22564190307282</v>
      </c>
      <c r="I86" s="20">
        <v>0</v>
      </c>
      <c r="J86" s="20">
        <v>0</v>
      </c>
      <c r="K86" s="20">
        <v>0</v>
      </c>
      <c r="L86" s="20">
        <v>0</v>
      </c>
      <c r="M86" s="20"/>
      <c r="N86" s="20">
        <v>0</v>
      </c>
      <c r="O86" s="20">
        <v>0</v>
      </c>
      <c r="P86" s="20">
        <v>0</v>
      </c>
      <c r="Q86" s="20">
        <v>0</v>
      </c>
      <c r="R86" s="20">
        <v>0</v>
      </c>
      <c r="S86" s="20">
        <v>0</v>
      </c>
      <c r="T86" s="20">
        <v>0</v>
      </c>
      <c r="U86" s="20">
        <v>0</v>
      </c>
      <c r="V86" s="20">
        <v>0</v>
      </c>
      <c r="W86" s="20">
        <v>0</v>
      </c>
      <c r="X86" s="20">
        <v>0</v>
      </c>
      <c r="Y86" s="20">
        <v>64.774358096927187</v>
      </c>
      <c r="Z86" s="20">
        <v>0</v>
      </c>
      <c r="AA86" s="20">
        <v>0</v>
      </c>
      <c r="AB86" s="55"/>
      <c r="AC86" s="20">
        <v>0</v>
      </c>
      <c r="AD86" s="20">
        <v>0</v>
      </c>
      <c r="AE86" s="20">
        <v>0</v>
      </c>
      <c r="AF86" s="20">
        <v>0</v>
      </c>
      <c r="AG86" s="20">
        <v>0</v>
      </c>
      <c r="AH86" s="20">
        <v>0</v>
      </c>
      <c r="AI86" s="20">
        <v>0</v>
      </c>
      <c r="AJ86" s="20">
        <v>0</v>
      </c>
      <c r="AK86" s="20">
        <v>0</v>
      </c>
      <c r="AL86" s="20">
        <v>0</v>
      </c>
      <c r="AM86" s="20">
        <v>0</v>
      </c>
      <c r="AN86" s="20">
        <v>0</v>
      </c>
      <c r="AO86" s="20">
        <v>0</v>
      </c>
      <c r="AP86" s="20">
        <v>0</v>
      </c>
      <c r="AQ86" s="20">
        <v>0</v>
      </c>
      <c r="AR86" s="20">
        <v>0</v>
      </c>
      <c r="AS86" s="55"/>
      <c r="AT86"/>
      <c r="AU86" s="20">
        <v>0</v>
      </c>
      <c r="AV86" s="20"/>
      <c r="AW86" s="11">
        <f t="shared" si="393"/>
        <v>48.84</v>
      </c>
      <c r="AX86" s="11">
        <f t="shared" si="394"/>
        <v>0</v>
      </c>
      <c r="AY86" s="11">
        <f t="shared" si="395"/>
        <v>0</v>
      </c>
      <c r="AZ86" s="11">
        <f t="shared" si="396"/>
        <v>0</v>
      </c>
      <c r="BA86" s="11">
        <f t="shared" si="397"/>
        <v>0</v>
      </c>
      <c r="BB86" s="11">
        <f t="shared" si="398"/>
        <v>0</v>
      </c>
      <c r="BC86" s="11">
        <f t="shared" si="399"/>
        <v>0</v>
      </c>
      <c r="BD86" s="11">
        <f t="shared" si="400"/>
        <v>0</v>
      </c>
      <c r="BE86" s="11">
        <f t="shared" si="401"/>
        <v>0</v>
      </c>
      <c r="BF86" s="11">
        <f t="shared" si="402"/>
        <v>0</v>
      </c>
      <c r="BG86" s="11">
        <f t="shared" si="403"/>
        <v>0</v>
      </c>
      <c r="BH86" s="11">
        <f t="shared" si="404"/>
        <v>0</v>
      </c>
      <c r="BI86" s="11">
        <f t="shared" si="405"/>
        <v>0</v>
      </c>
      <c r="BJ86" s="56">
        <f t="shared" si="406"/>
        <v>0</v>
      </c>
      <c r="BK86" s="11">
        <f t="shared" si="407"/>
        <v>0</v>
      </c>
      <c r="BL86" s="34">
        <f t="shared" si="408"/>
        <v>0</v>
      </c>
      <c r="BM86" s="11">
        <f t="shared" si="409"/>
        <v>0</v>
      </c>
      <c r="BN86" s="11">
        <f t="shared" si="410"/>
        <v>0</v>
      </c>
      <c r="BO86" s="11">
        <f t="shared" si="411"/>
        <v>51.16</v>
      </c>
      <c r="BP86" s="11">
        <f t="shared" si="412"/>
        <v>0</v>
      </c>
      <c r="BQ86" s="54"/>
      <c r="BR86" s="56">
        <f t="shared" si="413"/>
        <v>0</v>
      </c>
      <c r="BS86" s="56">
        <f t="shared" si="414"/>
        <v>0</v>
      </c>
      <c r="BT86" s="56">
        <f t="shared" si="415"/>
        <v>0</v>
      </c>
      <c r="BU86" s="56">
        <f t="shared" si="416"/>
        <v>0</v>
      </c>
      <c r="BV86" s="56">
        <f t="shared" si="417"/>
        <v>0</v>
      </c>
      <c r="BW86" s="56">
        <f t="shared" si="418"/>
        <v>0</v>
      </c>
      <c r="BX86" s="56">
        <f t="shared" si="419"/>
        <v>0</v>
      </c>
      <c r="BY86" s="56">
        <f t="shared" si="420"/>
        <v>0</v>
      </c>
      <c r="BZ86" s="56">
        <f t="shared" si="421"/>
        <v>0</v>
      </c>
      <c r="CA86" s="56">
        <f t="shared" si="422"/>
        <v>0</v>
      </c>
      <c r="CB86" s="56">
        <f t="shared" si="423"/>
        <v>0</v>
      </c>
      <c r="CC86" s="56">
        <f t="shared" si="424"/>
        <v>0</v>
      </c>
      <c r="CD86" s="56">
        <f t="shared" si="425"/>
        <v>0</v>
      </c>
      <c r="CE86" s="56">
        <f t="shared" si="426"/>
        <v>0</v>
      </c>
      <c r="CF86" s="56">
        <f t="shared" si="427"/>
        <v>0</v>
      </c>
      <c r="CG86" s="56">
        <f t="shared" si="428"/>
        <v>0</v>
      </c>
      <c r="CH86" s="54"/>
      <c r="CI86" s="11"/>
      <c r="CJ86" s="12" t="e">
        <f t="shared" ca="1" si="429"/>
        <v>#NAME?</v>
      </c>
      <c r="CK86" s="16"/>
      <c r="CL86" s="60">
        <f t="shared" si="430"/>
        <v>100</v>
      </c>
      <c r="CM86" s="60">
        <f t="shared" si="431"/>
        <v>0</v>
      </c>
      <c r="CN86" s="60">
        <f t="shared" si="432"/>
        <v>0</v>
      </c>
      <c r="CO86" s="60">
        <f t="shared" si="433"/>
        <v>0</v>
      </c>
      <c r="CP86" s="60">
        <f t="shared" si="434"/>
        <v>0</v>
      </c>
      <c r="CQ86" s="60">
        <f t="shared" si="435"/>
        <v>0</v>
      </c>
      <c r="CR86" s="60">
        <f t="shared" si="436"/>
        <v>0</v>
      </c>
      <c r="CS86" s="60">
        <f t="shared" si="437"/>
        <v>0</v>
      </c>
      <c r="CT86" s="60">
        <f t="shared" si="438"/>
        <v>0</v>
      </c>
      <c r="CU86" s="60">
        <f t="shared" si="439"/>
        <v>0</v>
      </c>
      <c r="CV86" s="60">
        <f t="shared" si="440"/>
        <v>0</v>
      </c>
      <c r="CW86" s="60">
        <f t="shared" si="441"/>
        <v>0</v>
      </c>
      <c r="CX86" s="60">
        <f t="shared" si="442"/>
        <v>0</v>
      </c>
      <c r="CY86" s="60">
        <f t="shared" si="443"/>
        <v>0</v>
      </c>
      <c r="CZ86" s="60">
        <f t="shared" si="444"/>
        <v>0</v>
      </c>
      <c r="DA86" s="60">
        <f t="shared" si="445"/>
        <v>0</v>
      </c>
      <c r="DB86" s="60">
        <f t="shared" si="446"/>
        <v>0</v>
      </c>
      <c r="DC86" s="60">
        <f t="shared" si="447"/>
        <v>0</v>
      </c>
      <c r="DD86" s="60">
        <f t="shared" si="448"/>
        <v>0</v>
      </c>
      <c r="DE86" s="60">
        <f t="shared" si="449"/>
        <v>0</v>
      </c>
      <c r="DF86" s="55"/>
      <c r="DG86" s="60">
        <f t="shared" si="450"/>
        <v>0</v>
      </c>
      <c r="DH86" s="60">
        <f t="shared" si="451"/>
        <v>0</v>
      </c>
      <c r="DI86" s="60">
        <f t="shared" si="452"/>
        <v>0</v>
      </c>
      <c r="DJ86" s="60">
        <f t="shared" si="453"/>
        <v>0</v>
      </c>
      <c r="DK86" s="60">
        <f t="shared" si="454"/>
        <v>0</v>
      </c>
      <c r="DL86" s="60">
        <f t="shared" si="455"/>
        <v>0</v>
      </c>
      <c r="DM86" s="60">
        <f t="shared" si="456"/>
        <v>0</v>
      </c>
      <c r="DN86" s="60">
        <f t="shared" si="457"/>
        <v>0</v>
      </c>
      <c r="DO86" s="60">
        <f t="shared" si="458"/>
        <v>0</v>
      </c>
      <c r="DP86" s="60">
        <f t="shared" si="459"/>
        <v>0</v>
      </c>
      <c r="DQ86" s="60">
        <f t="shared" si="460"/>
        <v>0</v>
      </c>
      <c r="DR86" s="60">
        <f t="shared" si="461"/>
        <v>0</v>
      </c>
      <c r="DS86" s="60">
        <f t="shared" si="462"/>
        <v>0</v>
      </c>
      <c r="DT86" s="60">
        <f t="shared" si="463"/>
        <v>0</v>
      </c>
      <c r="DU86" s="60">
        <f t="shared" si="464"/>
        <v>0</v>
      </c>
      <c r="DV86" s="60">
        <f t="shared" si="465"/>
        <v>0</v>
      </c>
      <c r="DW86" s="60"/>
      <c r="DX86" s="60" t="e">
        <f t="shared" ca="1" si="466"/>
        <v>#NAME?</v>
      </c>
    </row>
    <row r="87" spans="1:128" s="19" customFormat="1" ht="16" customHeight="1">
      <c r="A87" s="18"/>
      <c r="B87" s="17" t="s">
        <v>447</v>
      </c>
      <c r="C87" s="109" t="s">
        <v>461</v>
      </c>
      <c r="D87" s="16"/>
      <c r="E87" s="16"/>
      <c r="F87" s="16"/>
      <c r="G87" s="16"/>
      <c r="H87" s="20">
        <v>22.022417415877655</v>
      </c>
      <c r="I87" s="20">
        <v>0</v>
      </c>
      <c r="J87" s="20">
        <v>0</v>
      </c>
      <c r="K87" s="20">
        <v>0</v>
      </c>
      <c r="L87" s="20">
        <v>0</v>
      </c>
      <c r="M87" s="20"/>
      <c r="N87" s="20">
        <v>0</v>
      </c>
      <c r="O87" s="20">
        <v>7.6727710466459289</v>
      </c>
      <c r="P87" s="20">
        <v>0</v>
      </c>
      <c r="Q87" s="20">
        <v>0</v>
      </c>
      <c r="R87" s="20">
        <v>10.015798321150951</v>
      </c>
      <c r="S87" s="20">
        <v>0</v>
      </c>
      <c r="T87" s="20">
        <v>0</v>
      </c>
      <c r="U87" s="20">
        <v>0</v>
      </c>
      <c r="V87" s="20">
        <v>0</v>
      </c>
      <c r="W87" s="20">
        <v>0</v>
      </c>
      <c r="X87" s="20">
        <v>0</v>
      </c>
      <c r="Y87" s="20">
        <v>60.289013216325458</v>
      </c>
      <c r="Z87" s="20">
        <v>0</v>
      </c>
      <c r="AA87" s="20">
        <v>0</v>
      </c>
      <c r="AB87" s="55"/>
      <c r="AC87" s="20">
        <v>0</v>
      </c>
      <c r="AD87" s="20">
        <v>0</v>
      </c>
      <c r="AE87" s="20">
        <v>0</v>
      </c>
      <c r="AF87" s="20">
        <v>0</v>
      </c>
      <c r="AG87" s="20">
        <v>0</v>
      </c>
      <c r="AH87" s="20">
        <v>0</v>
      </c>
      <c r="AI87" s="20">
        <v>0</v>
      </c>
      <c r="AJ87" s="20">
        <v>0</v>
      </c>
      <c r="AK87" s="20">
        <v>0</v>
      </c>
      <c r="AL87" s="20">
        <v>0</v>
      </c>
      <c r="AM87" s="20">
        <v>0</v>
      </c>
      <c r="AN87" s="20">
        <v>0</v>
      </c>
      <c r="AO87" s="20">
        <v>0</v>
      </c>
      <c r="AP87" s="20">
        <v>0</v>
      </c>
      <c r="AQ87" s="20">
        <v>0</v>
      </c>
      <c r="AR87" s="20">
        <v>0</v>
      </c>
      <c r="AS87" s="55"/>
      <c r="AT87"/>
      <c r="AU87" s="20">
        <v>0</v>
      </c>
      <c r="AV87" s="20"/>
      <c r="AW87" s="11">
        <f t="shared" si="393"/>
        <v>28.490000000000002</v>
      </c>
      <c r="AX87" s="11">
        <f t="shared" si="394"/>
        <v>0</v>
      </c>
      <c r="AY87" s="11">
        <f t="shared" si="395"/>
        <v>0</v>
      </c>
      <c r="AZ87" s="11">
        <f t="shared" si="396"/>
        <v>0</v>
      </c>
      <c r="BA87" s="11">
        <f t="shared" si="397"/>
        <v>0</v>
      </c>
      <c r="BB87" s="11">
        <f t="shared" si="398"/>
        <v>0</v>
      </c>
      <c r="BC87" s="11">
        <f t="shared" si="399"/>
        <v>0</v>
      </c>
      <c r="BD87" s="11">
        <f t="shared" si="400"/>
        <v>8.5900000000000016</v>
      </c>
      <c r="BE87" s="11">
        <f t="shared" si="401"/>
        <v>0</v>
      </c>
      <c r="BF87" s="11">
        <f t="shared" si="402"/>
        <v>0</v>
      </c>
      <c r="BG87" s="11">
        <f t="shared" si="403"/>
        <v>18.490000000000002</v>
      </c>
      <c r="BH87" s="11">
        <f t="shared" si="404"/>
        <v>0</v>
      </c>
      <c r="BI87" s="11">
        <f t="shared" si="405"/>
        <v>0</v>
      </c>
      <c r="BJ87" s="56">
        <f t="shared" si="406"/>
        <v>0</v>
      </c>
      <c r="BK87" s="11">
        <f t="shared" si="407"/>
        <v>0</v>
      </c>
      <c r="BL87" s="34">
        <f t="shared" si="408"/>
        <v>0</v>
      </c>
      <c r="BM87" s="11">
        <f t="shared" si="409"/>
        <v>0</v>
      </c>
      <c r="BN87" s="11">
        <f t="shared" si="410"/>
        <v>0</v>
      </c>
      <c r="BO87" s="11">
        <f t="shared" si="411"/>
        <v>44.43</v>
      </c>
      <c r="BP87" s="11">
        <f t="shared" si="412"/>
        <v>0</v>
      </c>
      <c r="BQ87" s="54"/>
      <c r="BR87" s="56">
        <f t="shared" si="413"/>
        <v>0</v>
      </c>
      <c r="BS87" s="56">
        <f t="shared" si="414"/>
        <v>0</v>
      </c>
      <c r="BT87" s="56">
        <f t="shared" si="415"/>
        <v>0</v>
      </c>
      <c r="BU87" s="56">
        <f t="shared" si="416"/>
        <v>0</v>
      </c>
      <c r="BV87" s="56">
        <f t="shared" si="417"/>
        <v>0</v>
      </c>
      <c r="BW87" s="56">
        <f t="shared" si="418"/>
        <v>0</v>
      </c>
      <c r="BX87" s="56">
        <f t="shared" si="419"/>
        <v>0</v>
      </c>
      <c r="BY87" s="56">
        <f t="shared" si="420"/>
        <v>0</v>
      </c>
      <c r="BZ87" s="56">
        <f t="shared" si="421"/>
        <v>0</v>
      </c>
      <c r="CA87" s="56">
        <f t="shared" si="422"/>
        <v>0</v>
      </c>
      <c r="CB87" s="56">
        <f t="shared" si="423"/>
        <v>0</v>
      </c>
      <c r="CC87" s="56">
        <f t="shared" si="424"/>
        <v>0</v>
      </c>
      <c r="CD87" s="56">
        <f t="shared" si="425"/>
        <v>0</v>
      </c>
      <c r="CE87" s="56">
        <f t="shared" si="426"/>
        <v>0</v>
      </c>
      <c r="CF87" s="56">
        <f t="shared" si="427"/>
        <v>0</v>
      </c>
      <c r="CG87" s="56">
        <f t="shared" si="428"/>
        <v>0</v>
      </c>
      <c r="CH87" s="54"/>
      <c r="CI87" s="11"/>
      <c r="CJ87" s="12" t="e">
        <f t="shared" ca="1" si="429"/>
        <v>#NAME?</v>
      </c>
      <c r="CK87" s="16"/>
      <c r="CL87" s="60">
        <f t="shared" si="430"/>
        <v>60.307115306601908</v>
      </c>
      <c r="CM87" s="60">
        <f t="shared" si="431"/>
        <v>0</v>
      </c>
      <c r="CN87" s="60">
        <f t="shared" si="432"/>
        <v>0</v>
      </c>
      <c r="CO87" s="60">
        <f t="shared" si="433"/>
        <v>0</v>
      </c>
      <c r="CP87" s="60">
        <f t="shared" si="434"/>
        <v>0</v>
      </c>
      <c r="CQ87" s="60">
        <f t="shared" si="435"/>
        <v>0</v>
      </c>
      <c r="CR87" s="60">
        <f t="shared" si="436"/>
        <v>0</v>
      </c>
      <c r="CS87" s="60">
        <f t="shared" si="437"/>
        <v>0</v>
      </c>
      <c r="CT87" s="60">
        <f t="shared" si="438"/>
        <v>14.094352110645204</v>
      </c>
      <c r="CU87" s="60">
        <f t="shared" si="439"/>
        <v>0</v>
      </c>
      <c r="CV87" s="60">
        <f t="shared" si="440"/>
        <v>0</v>
      </c>
      <c r="CW87" s="60">
        <f t="shared" si="441"/>
        <v>25.598532582752881</v>
      </c>
      <c r="CX87" s="60">
        <f t="shared" si="442"/>
        <v>0</v>
      </c>
      <c r="CY87" s="60">
        <f t="shared" si="443"/>
        <v>0</v>
      </c>
      <c r="CZ87" s="60">
        <f t="shared" si="444"/>
        <v>0</v>
      </c>
      <c r="DA87" s="60">
        <f t="shared" si="445"/>
        <v>0</v>
      </c>
      <c r="DB87" s="60">
        <f t="shared" si="446"/>
        <v>0</v>
      </c>
      <c r="DC87" s="60">
        <f t="shared" si="447"/>
        <v>0</v>
      </c>
      <c r="DD87" s="60">
        <f t="shared" si="448"/>
        <v>0</v>
      </c>
      <c r="DE87" s="60">
        <f t="shared" si="449"/>
        <v>0</v>
      </c>
      <c r="DF87" s="55"/>
      <c r="DG87" s="60">
        <f t="shared" si="450"/>
        <v>0</v>
      </c>
      <c r="DH87" s="60">
        <f t="shared" si="451"/>
        <v>0</v>
      </c>
      <c r="DI87" s="60">
        <f t="shared" si="452"/>
        <v>0</v>
      </c>
      <c r="DJ87" s="60">
        <f t="shared" si="453"/>
        <v>0</v>
      </c>
      <c r="DK87" s="60">
        <f t="shared" si="454"/>
        <v>0</v>
      </c>
      <c r="DL87" s="60">
        <f t="shared" si="455"/>
        <v>0</v>
      </c>
      <c r="DM87" s="60">
        <f t="shared" si="456"/>
        <v>0</v>
      </c>
      <c r="DN87" s="60">
        <f t="shared" si="457"/>
        <v>0</v>
      </c>
      <c r="DO87" s="60">
        <f t="shared" si="458"/>
        <v>0</v>
      </c>
      <c r="DP87" s="60">
        <f t="shared" si="459"/>
        <v>0</v>
      </c>
      <c r="DQ87" s="60">
        <f t="shared" si="460"/>
        <v>0</v>
      </c>
      <c r="DR87" s="60">
        <f t="shared" si="461"/>
        <v>0</v>
      </c>
      <c r="DS87" s="60">
        <f t="shared" si="462"/>
        <v>0</v>
      </c>
      <c r="DT87" s="60">
        <f t="shared" si="463"/>
        <v>0</v>
      </c>
      <c r="DU87" s="60">
        <f t="shared" si="464"/>
        <v>0</v>
      </c>
      <c r="DV87" s="60">
        <f t="shared" si="465"/>
        <v>0</v>
      </c>
      <c r="DW87" s="60"/>
      <c r="DX87" s="60" t="e">
        <f t="shared" ca="1" si="466"/>
        <v>#NAME?</v>
      </c>
    </row>
    <row r="88" spans="1:128" s="19" customFormat="1" ht="16" customHeight="1">
      <c r="A88" s="18"/>
      <c r="B88" s="17" t="s">
        <v>448</v>
      </c>
      <c r="C88" s="109" t="s">
        <v>461</v>
      </c>
      <c r="D88" s="16"/>
      <c r="E88" s="16"/>
      <c r="F88" s="16"/>
      <c r="G88" s="16"/>
      <c r="H88" s="20">
        <v>28.752940207723533</v>
      </c>
      <c r="I88" s="20">
        <v>0</v>
      </c>
      <c r="J88" s="20">
        <v>0</v>
      </c>
      <c r="K88" s="20">
        <v>0</v>
      </c>
      <c r="L88" s="20">
        <v>0</v>
      </c>
      <c r="M88" s="20"/>
      <c r="N88" s="20">
        <v>0</v>
      </c>
      <c r="O88" s="20">
        <v>0</v>
      </c>
      <c r="P88" s="20">
        <v>0</v>
      </c>
      <c r="Q88" s="20">
        <v>0</v>
      </c>
      <c r="R88" s="20">
        <v>0</v>
      </c>
      <c r="S88" s="20">
        <v>0</v>
      </c>
      <c r="T88" s="20">
        <v>0</v>
      </c>
      <c r="U88" s="20">
        <v>0</v>
      </c>
      <c r="V88" s="20">
        <v>0</v>
      </c>
      <c r="W88" s="20">
        <v>0</v>
      </c>
      <c r="X88" s="20">
        <v>0</v>
      </c>
      <c r="Y88" s="20">
        <v>0</v>
      </c>
      <c r="Z88" s="20">
        <v>0</v>
      </c>
      <c r="AA88" s="20">
        <v>0</v>
      </c>
      <c r="AB88" s="55"/>
      <c r="AC88" s="20">
        <v>0</v>
      </c>
      <c r="AD88" s="20">
        <v>0</v>
      </c>
      <c r="AE88" s="20">
        <v>0</v>
      </c>
      <c r="AF88" s="20">
        <v>0</v>
      </c>
      <c r="AG88" s="20">
        <v>0</v>
      </c>
      <c r="AH88" s="20">
        <v>23.095080674331935</v>
      </c>
      <c r="AI88" s="20">
        <v>0</v>
      </c>
      <c r="AJ88" s="20">
        <v>48.151979117944528</v>
      </c>
      <c r="AK88" s="20">
        <v>0</v>
      </c>
      <c r="AL88" s="20">
        <v>0</v>
      </c>
      <c r="AM88" s="20">
        <v>0</v>
      </c>
      <c r="AN88" s="20">
        <v>0</v>
      </c>
      <c r="AO88" s="20">
        <v>0</v>
      </c>
      <c r="AP88" s="20">
        <v>0</v>
      </c>
      <c r="AQ88" s="20">
        <v>0</v>
      </c>
      <c r="AR88" s="20">
        <v>0</v>
      </c>
      <c r="AS88" s="55"/>
      <c r="AT88"/>
      <c r="AU88" s="20">
        <v>0</v>
      </c>
      <c r="AV88" s="20"/>
      <c r="AW88" s="11">
        <f t="shared" si="393"/>
        <v>7.1407140714071415</v>
      </c>
      <c r="AX88" s="11">
        <f t="shared" si="394"/>
        <v>0</v>
      </c>
      <c r="AY88" s="11">
        <f t="shared" si="395"/>
        <v>0</v>
      </c>
      <c r="AZ88" s="11">
        <f t="shared" si="396"/>
        <v>0</v>
      </c>
      <c r="BA88" s="11">
        <f t="shared" si="397"/>
        <v>0</v>
      </c>
      <c r="BB88" s="11">
        <f t="shared" si="398"/>
        <v>0</v>
      </c>
      <c r="BC88" s="11">
        <f t="shared" si="399"/>
        <v>0</v>
      </c>
      <c r="BD88" s="11">
        <f t="shared" si="400"/>
        <v>0</v>
      </c>
      <c r="BE88" s="11">
        <f t="shared" si="401"/>
        <v>0</v>
      </c>
      <c r="BF88" s="11">
        <f t="shared" si="402"/>
        <v>0</v>
      </c>
      <c r="BG88" s="11">
        <f t="shared" si="403"/>
        <v>0</v>
      </c>
      <c r="BH88" s="11">
        <f t="shared" si="404"/>
        <v>0</v>
      </c>
      <c r="BI88" s="11">
        <f t="shared" si="405"/>
        <v>0</v>
      </c>
      <c r="BJ88" s="56">
        <f t="shared" si="406"/>
        <v>0</v>
      </c>
      <c r="BK88" s="11">
        <f t="shared" si="407"/>
        <v>0</v>
      </c>
      <c r="BL88" s="34">
        <f t="shared" si="408"/>
        <v>0</v>
      </c>
      <c r="BM88" s="11">
        <f t="shared" si="409"/>
        <v>0</v>
      </c>
      <c r="BN88" s="11">
        <f t="shared" si="410"/>
        <v>0</v>
      </c>
      <c r="BO88" s="11">
        <f t="shared" si="411"/>
        <v>0</v>
      </c>
      <c r="BP88" s="11">
        <f t="shared" si="412"/>
        <v>0</v>
      </c>
      <c r="BQ88" s="54"/>
      <c r="BR88" s="56">
        <f t="shared" si="413"/>
        <v>0</v>
      </c>
      <c r="BS88" s="56">
        <f t="shared" si="414"/>
        <v>0</v>
      </c>
      <c r="BT88" s="56">
        <f t="shared" si="415"/>
        <v>0</v>
      </c>
      <c r="BU88" s="56">
        <f t="shared" si="416"/>
        <v>0</v>
      </c>
      <c r="BV88" s="56">
        <f t="shared" si="417"/>
        <v>0</v>
      </c>
      <c r="BW88" s="56">
        <f t="shared" si="418"/>
        <v>42.314231423142324</v>
      </c>
      <c r="BX88" s="56">
        <f t="shared" si="419"/>
        <v>0</v>
      </c>
      <c r="BY88" s="56">
        <f t="shared" si="420"/>
        <v>50.545054505450537</v>
      </c>
      <c r="BZ88" s="56">
        <f t="shared" si="421"/>
        <v>0</v>
      </c>
      <c r="CA88" s="56">
        <f t="shared" si="422"/>
        <v>0</v>
      </c>
      <c r="CB88" s="56">
        <f t="shared" si="423"/>
        <v>0</v>
      </c>
      <c r="CC88" s="56">
        <f t="shared" si="424"/>
        <v>0</v>
      </c>
      <c r="CD88" s="56">
        <f t="shared" si="425"/>
        <v>0</v>
      </c>
      <c r="CE88" s="56">
        <f t="shared" si="426"/>
        <v>0</v>
      </c>
      <c r="CF88" s="56">
        <f t="shared" si="427"/>
        <v>0</v>
      </c>
      <c r="CG88" s="56">
        <f t="shared" si="428"/>
        <v>0</v>
      </c>
      <c r="CH88" s="54"/>
      <c r="CI88" s="11"/>
      <c r="CJ88" s="12" t="e">
        <f t="shared" ca="1" si="429"/>
        <v>#NAME?</v>
      </c>
      <c r="CK88" s="16"/>
      <c r="CL88" s="60">
        <f t="shared" si="430"/>
        <v>12.219366049242222</v>
      </c>
      <c r="CM88" s="60">
        <f t="shared" si="431"/>
        <v>0</v>
      </c>
      <c r="CN88" s="60">
        <f t="shared" si="432"/>
        <v>0</v>
      </c>
      <c r="CO88" s="60">
        <f t="shared" si="433"/>
        <v>0</v>
      </c>
      <c r="CP88" s="60">
        <f t="shared" si="434"/>
        <v>0</v>
      </c>
      <c r="CQ88" s="60">
        <f t="shared" si="435"/>
        <v>0</v>
      </c>
      <c r="CR88" s="60">
        <f t="shared" si="436"/>
        <v>0</v>
      </c>
      <c r="CS88" s="60">
        <f t="shared" si="437"/>
        <v>0</v>
      </c>
      <c r="CT88" s="60">
        <f t="shared" si="438"/>
        <v>0</v>
      </c>
      <c r="CU88" s="60">
        <f t="shared" si="439"/>
        <v>0</v>
      </c>
      <c r="CV88" s="60">
        <f t="shared" si="440"/>
        <v>0</v>
      </c>
      <c r="CW88" s="60">
        <f t="shared" si="441"/>
        <v>0</v>
      </c>
      <c r="CX88" s="60">
        <f t="shared" si="442"/>
        <v>0</v>
      </c>
      <c r="CY88" s="60">
        <f t="shared" si="443"/>
        <v>0</v>
      </c>
      <c r="CZ88" s="60">
        <f t="shared" si="444"/>
        <v>0</v>
      </c>
      <c r="DA88" s="60">
        <f t="shared" si="445"/>
        <v>0</v>
      </c>
      <c r="DB88" s="60">
        <f t="shared" si="446"/>
        <v>0</v>
      </c>
      <c r="DC88" s="60">
        <f t="shared" si="447"/>
        <v>0</v>
      </c>
      <c r="DD88" s="60">
        <f t="shared" si="448"/>
        <v>0</v>
      </c>
      <c r="DE88" s="60">
        <f t="shared" si="449"/>
        <v>0</v>
      </c>
      <c r="DF88" s="55"/>
      <c r="DG88" s="60">
        <f t="shared" si="450"/>
        <v>0</v>
      </c>
      <c r="DH88" s="60">
        <f t="shared" si="451"/>
        <v>0</v>
      </c>
      <c r="DI88" s="60">
        <f t="shared" si="452"/>
        <v>0</v>
      </c>
      <c r="DJ88" s="60">
        <f t="shared" si="453"/>
        <v>0</v>
      </c>
      <c r="DK88" s="60">
        <f t="shared" si="454"/>
        <v>0</v>
      </c>
      <c r="DL88" s="60">
        <f t="shared" si="455"/>
        <v>36.458669788069002</v>
      </c>
      <c r="DM88" s="60">
        <f t="shared" si="456"/>
        <v>0</v>
      </c>
      <c r="DN88" s="60">
        <f t="shared" si="457"/>
        <v>51.321964162688772</v>
      </c>
      <c r="DO88" s="60">
        <f t="shared" si="458"/>
        <v>0</v>
      </c>
      <c r="DP88" s="60">
        <f t="shared" si="459"/>
        <v>0</v>
      </c>
      <c r="DQ88" s="60">
        <f t="shared" si="460"/>
        <v>0</v>
      </c>
      <c r="DR88" s="60">
        <f t="shared" si="461"/>
        <v>0</v>
      </c>
      <c r="DS88" s="60">
        <f t="shared" si="462"/>
        <v>0</v>
      </c>
      <c r="DT88" s="60">
        <f t="shared" si="463"/>
        <v>0</v>
      </c>
      <c r="DU88" s="60">
        <f t="shared" si="464"/>
        <v>0</v>
      </c>
      <c r="DV88" s="60">
        <f t="shared" si="465"/>
        <v>0</v>
      </c>
      <c r="DW88" s="60"/>
      <c r="DX88" s="60" t="e">
        <f t="shared" ca="1" si="466"/>
        <v>#NAME?</v>
      </c>
    </row>
    <row r="89" spans="1:128" s="19" customFormat="1" ht="16" customHeight="1">
      <c r="A89" s="18"/>
      <c r="B89" s="17" t="s">
        <v>449</v>
      </c>
      <c r="C89" s="109" t="s">
        <v>461</v>
      </c>
      <c r="D89" s="16"/>
      <c r="E89" s="16"/>
      <c r="F89" s="16"/>
      <c r="G89" s="16"/>
      <c r="H89" s="20">
        <v>0</v>
      </c>
      <c r="I89" s="20">
        <v>0</v>
      </c>
      <c r="J89" s="20">
        <v>0</v>
      </c>
      <c r="K89" s="20">
        <v>0</v>
      </c>
      <c r="L89" s="20">
        <v>0</v>
      </c>
      <c r="M89" s="20"/>
      <c r="N89" s="20">
        <v>0</v>
      </c>
      <c r="O89" s="20">
        <v>10.202295523290967</v>
      </c>
      <c r="P89" s="20">
        <v>0</v>
      </c>
      <c r="Q89" s="20">
        <v>0</v>
      </c>
      <c r="R89" s="20">
        <v>16.575202202494108</v>
      </c>
      <c r="S89" s="20">
        <v>0</v>
      </c>
      <c r="T89" s="20">
        <v>0</v>
      </c>
      <c r="U89" s="20">
        <v>0</v>
      </c>
      <c r="V89" s="20">
        <v>0</v>
      </c>
      <c r="W89" s="20">
        <v>0</v>
      </c>
      <c r="X89" s="20">
        <v>0</v>
      </c>
      <c r="Y89" s="20">
        <v>73.222502274214932</v>
      </c>
      <c r="Z89" s="20">
        <v>0</v>
      </c>
      <c r="AA89" s="20">
        <v>0</v>
      </c>
      <c r="AB89" s="55"/>
      <c r="AC89" s="20">
        <v>0</v>
      </c>
      <c r="AD89" s="20">
        <v>0</v>
      </c>
      <c r="AE89" s="20">
        <v>0</v>
      </c>
      <c r="AF89" s="20">
        <v>0</v>
      </c>
      <c r="AG89" s="20">
        <v>0</v>
      </c>
      <c r="AH89" s="20">
        <v>0</v>
      </c>
      <c r="AI89" s="20">
        <v>0</v>
      </c>
      <c r="AJ89" s="20">
        <v>0</v>
      </c>
      <c r="AK89" s="20">
        <v>0</v>
      </c>
      <c r="AL89" s="20">
        <v>0</v>
      </c>
      <c r="AM89" s="20">
        <v>0</v>
      </c>
      <c r="AN89" s="20">
        <v>0</v>
      </c>
      <c r="AO89" s="20">
        <v>0</v>
      </c>
      <c r="AP89" s="20">
        <v>0</v>
      </c>
      <c r="AQ89" s="20">
        <v>0</v>
      </c>
      <c r="AR89" s="20">
        <v>0</v>
      </c>
      <c r="AS89" s="55"/>
      <c r="AT89"/>
      <c r="AU89" s="20">
        <v>0</v>
      </c>
      <c r="AV89" s="20"/>
      <c r="AW89" s="11">
        <f t="shared" si="393"/>
        <v>0</v>
      </c>
      <c r="AX89" s="11">
        <f t="shared" si="394"/>
        <v>0</v>
      </c>
      <c r="AY89" s="11">
        <f t="shared" si="395"/>
        <v>0</v>
      </c>
      <c r="AZ89" s="11">
        <f t="shared" si="396"/>
        <v>0</v>
      </c>
      <c r="BA89" s="11">
        <f t="shared" si="397"/>
        <v>0</v>
      </c>
      <c r="BB89" s="11">
        <f t="shared" si="398"/>
        <v>0</v>
      </c>
      <c r="BC89" s="11">
        <f t="shared" si="399"/>
        <v>0</v>
      </c>
      <c r="BD89" s="11">
        <f t="shared" si="400"/>
        <v>11.9</v>
      </c>
      <c r="BE89" s="11">
        <f t="shared" si="401"/>
        <v>0</v>
      </c>
      <c r="BF89" s="11">
        <f t="shared" si="402"/>
        <v>0</v>
      </c>
      <c r="BG89" s="11">
        <f t="shared" si="403"/>
        <v>31.879999999999992</v>
      </c>
      <c r="BH89" s="11">
        <f t="shared" si="404"/>
        <v>0</v>
      </c>
      <c r="BI89" s="11">
        <f t="shared" si="405"/>
        <v>0</v>
      </c>
      <c r="BJ89" s="56">
        <f t="shared" si="406"/>
        <v>0</v>
      </c>
      <c r="BK89" s="11">
        <f t="shared" si="407"/>
        <v>0</v>
      </c>
      <c r="BL89" s="34">
        <f t="shared" si="408"/>
        <v>0</v>
      </c>
      <c r="BM89" s="11">
        <f t="shared" si="409"/>
        <v>0</v>
      </c>
      <c r="BN89" s="11">
        <f t="shared" si="410"/>
        <v>0</v>
      </c>
      <c r="BO89" s="11">
        <f t="shared" si="411"/>
        <v>56.220000000000006</v>
      </c>
      <c r="BP89" s="11">
        <f t="shared" si="412"/>
        <v>0</v>
      </c>
      <c r="BQ89" s="54"/>
      <c r="BR89" s="56">
        <f t="shared" si="413"/>
        <v>0</v>
      </c>
      <c r="BS89" s="56">
        <f t="shared" si="414"/>
        <v>0</v>
      </c>
      <c r="BT89" s="56">
        <f t="shared" si="415"/>
        <v>0</v>
      </c>
      <c r="BU89" s="56">
        <f t="shared" si="416"/>
        <v>0</v>
      </c>
      <c r="BV89" s="56">
        <f t="shared" si="417"/>
        <v>0</v>
      </c>
      <c r="BW89" s="56">
        <f t="shared" si="418"/>
        <v>0</v>
      </c>
      <c r="BX89" s="56">
        <f t="shared" si="419"/>
        <v>0</v>
      </c>
      <c r="BY89" s="56">
        <f t="shared" si="420"/>
        <v>0</v>
      </c>
      <c r="BZ89" s="56">
        <f t="shared" si="421"/>
        <v>0</v>
      </c>
      <c r="CA89" s="56">
        <f t="shared" si="422"/>
        <v>0</v>
      </c>
      <c r="CB89" s="56">
        <f t="shared" si="423"/>
        <v>0</v>
      </c>
      <c r="CC89" s="56">
        <f t="shared" si="424"/>
        <v>0</v>
      </c>
      <c r="CD89" s="56">
        <f t="shared" si="425"/>
        <v>0</v>
      </c>
      <c r="CE89" s="56">
        <f t="shared" si="426"/>
        <v>0</v>
      </c>
      <c r="CF89" s="56">
        <f t="shared" si="427"/>
        <v>0</v>
      </c>
      <c r="CG89" s="56">
        <f t="shared" si="428"/>
        <v>0</v>
      </c>
      <c r="CH89" s="54"/>
      <c r="CI89" s="11"/>
      <c r="CJ89" s="12" t="e">
        <f t="shared" ca="1" si="429"/>
        <v>#NAME?</v>
      </c>
      <c r="CK89" s="16"/>
      <c r="CL89" s="60">
        <f t="shared" si="430"/>
        <v>0</v>
      </c>
      <c r="CM89" s="60">
        <f t="shared" si="431"/>
        <v>0</v>
      </c>
      <c r="CN89" s="60">
        <f t="shared" si="432"/>
        <v>0</v>
      </c>
      <c r="CO89" s="60">
        <f t="shared" si="433"/>
        <v>0</v>
      </c>
      <c r="CP89" s="60">
        <f t="shared" si="434"/>
        <v>0</v>
      </c>
      <c r="CQ89" s="60">
        <f t="shared" si="435"/>
        <v>0</v>
      </c>
      <c r="CR89" s="60">
        <f t="shared" si="436"/>
        <v>0</v>
      </c>
      <c r="CS89" s="60">
        <f t="shared" si="437"/>
        <v>0</v>
      </c>
      <c r="CT89" s="60">
        <f t="shared" si="438"/>
        <v>30.670483091659694</v>
      </c>
      <c r="CU89" s="60">
        <f t="shared" si="439"/>
        <v>0</v>
      </c>
      <c r="CV89" s="60">
        <f t="shared" si="440"/>
        <v>0</v>
      </c>
      <c r="CW89" s="60">
        <f t="shared" si="441"/>
        <v>69.32951690834031</v>
      </c>
      <c r="CX89" s="60">
        <f t="shared" si="442"/>
        <v>0</v>
      </c>
      <c r="CY89" s="60">
        <f t="shared" si="443"/>
        <v>0</v>
      </c>
      <c r="CZ89" s="60">
        <f t="shared" si="444"/>
        <v>0</v>
      </c>
      <c r="DA89" s="60">
        <f t="shared" si="445"/>
        <v>0</v>
      </c>
      <c r="DB89" s="60">
        <f t="shared" si="446"/>
        <v>0</v>
      </c>
      <c r="DC89" s="60">
        <f t="shared" si="447"/>
        <v>0</v>
      </c>
      <c r="DD89" s="60">
        <f t="shared" si="448"/>
        <v>0</v>
      </c>
      <c r="DE89" s="60">
        <f t="shared" si="449"/>
        <v>0</v>
      </c>
      <c r="DF89" s="55"/>
      <c r="DG89" s="60">
        <f t="shared" si="450"/>
        <v>0</v>
      </c>
      <c r="DH89" s="60">
        <f t="shared" si="451"/>
        <v>0</v>
      </c>
      <c r="DI89" s="60">
        <f t="shared" si="452"/>
        <v>0</v>
      </c>
      <c r="DJ89" s="60">
        <f t="shared" si="453"/>
        <v>0</v>
      </c>
      <c r="DK89" s="60">
        <f t="shared" si="454"/>
        <v>0</v>
      </c>
      <c r="DL89" s="60">
        <f t="shared" si="455"/>
        <v>0</v>
      </c>
      <c r="DM89" s="60">
        <f t="shared" si="456"/>
        <v>0</v>
      </c>
      <c r="DN89" s="60">
        <f t="shared" si="457"/>
        <v>0</v>
      </c>
      <c r="DO89" s="60">
        <f t="shared" si="458"/>
        <v>0</v>
      </c>
      <c r="DP89" s="60">
        <f t="shared" si="459"/>
        <v>0</v>
      </c>
      <c r="DQ89" s="60">
        <f t="shared" si="460"/>
        <v>0</v>
      </c>
      <c r="DR89" s="60">
        <f t="shared" si="461"/>
        <v>0</v>
      </c>
      <c r="DS89" s="60">
        <f t="shared" si="462"/>
        <v>0</v>
      </c>
      <c r="DT89" s="60">
        <f t="shared" si="463"/>
        <v>0</v>
      </c>
      <c r="DU89" s="60">
        <f t="shared" si="464"/>
        <v>0</v>
      </c>
      <c r="DV89" s="60">
        <f t="shared" si="465"/>
        <v>0</v>
      </c>
      <c r="DW89" s="60"/>
      <c r="DX89" s="60" t="e">
        <f t="shared" ca="1" si="466"/>
        <v>#NAME?</v>
      </c>
    </row>
    <row r="90" spans="1:128" s="19" customFormat="1" ht="16" customHeight="1">
      <c r="A90" s="18"/>
      <c r="B90" s="17" t="s">
        <v>450</v>
      </c>
      <c r="C90" s="109" t="s">
        <v>461</v>
      </c>
      <c r="D90" s="16"/>
      <c r="E90" s="16"/>
      <c r="F90" s="16"/>
      <c r="G90" s="16"/>
      <c r="H90" s="20">
        <v>0</v>
      </c>
      <c r="I90" s="20">
        <v>0</v>
      </c>
      <c r="J90" s="20">
        <v>0</v>
      </c>
      <c r="K90" s="20">
        <v>0</v>
      </c>
      <c r="L90" s="20">
        <v>0</v>
      </c>
      <c r="M90" s="20"/>
      <c r="N90" s="20">
        <v>0</v>
      </c>
      <c r="O90" s="20">
        <v>0</v>
      </c>
      <c r="P90" s="20">
        <v>0</v>
      </c>
      <c r="Q90" s="20">
        <v>0</v>
      </c>
      <c r="R90" s="20">
        <v>17.364464357277981</v>
      </c>
      <c r="S90" s="20">
        <v>0</v>
      </c>
      <c r="T90" s="20">
        <v>0</v>
      </c>
      <c r="U90" s="20">
        <v>0</v>
      </c>
      <c r="V90" s="20">
        <v>13.585810483078463</v>
      </c>
      <c r="W90" s="20">
        <v>0</v>
      </c>
      <c r="X90" s="20">
        <v>0</v>
      </c>
      <c r="Y90" s="20">
        <v>69.049725159643558</v>
      </c>
      <c r="Z90" s="20">
        <v>0</v>
      </c>
      <c r="AA90" s="20">
        <v>0</v>
      </c>
      <c r="AB90" s="55"/>
      <c r="AC90" s="20">
        <v>0</v>
      </c>
      <c r="AD90" s="20">
        <v>0</v>
      </c>
      <c r="AE90" s="20">
        <v>0</v>
      </c>
      <c r="AF90" s="20">
        <v>0</v>
      </c>
      <c r="AG90" s="20">
        <v>0</v>
      </c>
      <c r="AH90" s="20">
        <v>0</v>
      </c>
      <c r="AI90" s="20">
        <v>0</v>
      </c>
      <c r="AJ90" s="20">
        <v>0</v>
      </c>
      <c r="AK90" s="20">
        <v>0</v>
      </c>
      <c r="AL90" s="20">
        <v>0</v>
      </c>
      <c r="AM90" s="20">
        <v>0</v>
      </c>
      <c r="AN90" s="20">
        <v>0</v>
      </c>
      <c r="AO90" s="20">
        <v>0</v>
      </c>
      <c r="AP90" s="20">
        <v>0</v>
      </c>
      <c r="AQ90" s="20">
        <v>0</v>
      </c>
      <c r="AR90" s="20">
        <v>0</v>
      </c>
      <c r="AS90" s="55"/>
      <c r="AT90"/>
      <c r="AU90" s="20">
        <v>0</v>
      </c>
      <c r="AV90" s="20"/>
      <c r="AW90" s="11">
        <f t="shared" si="393"/>
        <v>0</v>
      </c>
      <c r="AX90" s="11">
        <f t="shared" si="394"/>
        <v>0</v>
      </c>
      <c r="AY90" s="11">
        <f t="shared" si="395"/>
        <v>0</v>
      </c>
      <c r="AZ90" s="11">
        <f t="shared" si="396"/>
        <v>0</v>
      </c>
      <c r="BA90" s="11">
        <f t="shared" si="397"/>
        <v>0</v>
      </c>
      <c r="BB90" s="11">
        <f t="shared" si="398"/>
        <v>0</v>
      </c>
      <c r="BC90" s="11">
        <f t="shared" si="399"/>
        <v>0</v>
      </c>
      <c r="BD90" s="11">
        <f t="shared" si="400"/>
        <v>0</v>
      </c>
      <c r="BE90" s="11">
        <f t="shared" si="401"/>
        <v>0</v>
      </c>
      <c r="BF90" s="11">
        <f t="shared" si="402"/>
        <v>0</v>
      </c>
      <c r="BG90" s="11">
        <f t="shared" si="403"/>
        <v>31.12</v>
      </c>
      <c r="BH90" s="11">
        <f t="shared" si="404"/>
        <v>0</v>
      </c>
      <c r="BI90" s="11">
        <f t="shared" si="405"/>
        <v>0</v>
      </c>
      <c r="BJ90" s="56">
        <f t="shared" si="406"/>
        <v>0</v>
      </c>
      <c r="BK90" s="11">
        <f t="shared" si="407"/>
        <v>19.48</v>
      </c>
      <c r="BL90" s="34">
        <f t="shared" si="408"/>
        <v>0</v>
      </c>
      <c r="BM90" s="11">
        <f t="shared" si="409"/>
        <v>0</v>
      </c>
      <c r="BN90" s="11">
        <f t="shared" si="410"/>
        <v>0</v>
      </c>
      <c r="BO90" s="11">
        <f t="shared" si="411"/>
        <v>49.4</v>
      </c>
      <c r="BP90" s="11">
        <f t="shared" si="412"/>
        <v>0</v>
      </c>
      <c r="BQ90" s="54"/>
      <c r="BR90" s="56">
        <f t="shared" si="413"/>
        <v>0</v>
      </c>
      <c r="BS90" s="56">
        <f t="shared" si="414"/>
        <v>0</v>
      </c>
      <c r="BT90" s="56">
        <f t="shared" si="415"/>
        <v>0</v>
      </c>
      <c r="BU90" s="56">
        <f t="shared" si="416"/>
        <v>0</v>
      </c>
      <c r="BV90" s="56">
        <f t="shared" si="417"/>
        <v>0</v>
      </c>
      <c r="BW90" s="56">
        <f t="shared" si="418"/>
        <v>0</v>
      </c>
      <c r="BX90" s="56">
        <f t="shared" si="419"/>
        <v>0</v>
      </c>
      <c r="BY90" s="56">
        <f t="shared" si="420"/>
        <v>0</v>
      </c>
      <c r="BZ90" s="56">
        <f t="shared" si="421"/>
        <v>0</v>
      </c>
      <c r="CA90" s="56">
        <f t="shared" si="422"/>
        <v>0</v>
      </c>
      <c r="CB90" s="56">
        <f t="shared" si="423"/>
        <v>0</v>
      </c>
      <c r="CC90" s="56">
        <f t="shared" si="424"/>
        <v>0</v>
      </c>
      <c r="CD90" s="56">
        <f t="shared" si="425"/>
        <v>0</v>
      </c>
      <c r="CE90" s="56">
        <f t="shared" si="426"/>
        <v>0</v>
      </c>
      <c r="CF90" s="56">
        <f t="shared" si="427"/>
        <v>0</v>
      </c>
      <c r="CG90" s="56">
        <f t="shared" si="428"/>
        <v>0</v>
      </c>
      <c r="CH90" s="54"/>
      <c r="CI90" s="11"/>
      <c r="CJ90" s="12" t="e">
        <f t="shared" ca="1" si="429"/>
        <v>#NAME?</v>
      </c>
      <c r="CK90" s="16"/>
      <c r="CL90" s="60">
        <f t="shared" si="430"/>
        <v>0</v>
      </c>
      <c r="CM90" s="60">
        <f t="shared" si="431"/>
        <v>0</v>
      </c>
      <c r="CN90" s="60">
        <f t="shared" si="432"/>
        <v>0</v>
      </c>
      <c r="CO90" s="60">
        <f t="shared" si="433"/>
        <v>0</v>
      </c>
      <c r="CP90" s="60">
        <f t="shared" si="434"/>
        <v>0</v>
      </c>
      <c r="CQ90" s="60">
        <f t="shared" si="435"/>
        <v>0</v>
      </c>
      <c r="CR90" s="60">
        <f t="shared" si="436"/>
        <v>0</v>
      </c>
      <c r="CS90" s="60">
        <f t="shared" si="437"/>
        <v>0</v>
      </c>
      <c r="CT90" s="60">
        <f t="shared" si="438"/>
        <v>0</v>
      </c>
      <c r="CU90" s="60">
        <f t="shared" si="439"/>
        <v>0</v>
      </c>
      <c r="CV90" s="60">
        <f t="shared" si="440"/>
        <v>0</v>
      </c>
      <c r="CW90" s="60">
        <f t="shared" si="441"/>
        <v>47.236552240989546</v>
      </c>
      <c r="CX90" s="60">
        <f t="shared" si="442"/>
        <v>0</v>
      </c>
      <c r="CY90" s="60">
        <f t="shared" si="443"/>
        <v>0</v>
      </c>
      <c r="CZ90" s="60">
        <f t="shared" si="444"/>
        <v>0</v>
      </c>
      <c r="DA90" s="60">
        <f t="shared" si="445"/>
        <v>52.763447759010461</v>
      </c>
      <c r="DB90" s="60">
        <f t="shared" si="446"/>
        <v>0</v>
      </c>
      <c r="DC90" s="60">
        <f t="shared" si="447"/>
        <v>0</v>
      </c>
      <c r="DD90" s="60">
        <f t="shared" si="448"/>
        <v>0</v>
      </c>
      <c r="DE90" s="60">
        <f t="shared" si="449"/>
        <v>0</v>
      </c>
      <c r="DF90" s="55"/>
      <c r="DG90" s="60">
        <f t="shared" si="450"/>
        <v>0</v>
      </c>
      <c r="DH90" s="60">
        <f t="shared" si="451"/>
        <v>0</v>
      </c>
      <c r="DI90" s="60">
        <f t="shared" si="452"/>
        <v>0</v>
      </c>
      <c r="DJ90" s="60">
        <f t="shared" si="453"/>
        <v>0</v>
      </c>
      <c r="DK90" s="60">
        <f t="shared" si="454"/>
        <v>0</v>
      </c>
      <c r="DL90" s="60">
        <f t="shared" si="455"/>
        <v>0</v>
      </c>
      <c r="DM90" s="60">
        <f t="shared" si="456"/>
        <v>0</v>
      </c>
      <c r="DN90" s="60">
        <f t="shared" si="457"/>
        <v>0</v>
      </c>
      <c r="DO90" s="60">
        <f t="shared" si="458"/>
        <v>0</v>
      </c>
      <c r="DP90" s="60">
        <f t="shared" si="459"/>
        <v>0</v>
      </c>
      <c r="DQ90" s="60">
        <f t="shared" si="460"/>
        <v>0</v>
      </c>
      <c r="DR90" s="60">
        <f t="shared" si="461"/>
        <v>0</v>
      </c>
      <c r="DS90" s="60">
        <f t="shared" si="462"/>
        <v>0</v>
      </c>
      <c r="DT90" s="60">
        <f t="shared" si="463"/>
        <v>0</v>
      </c>
      <c r="DU90" s="60">
        <f t="shared" si="464"/>
        <v>0</v>
      </c>
      <c r="DV90" s="60">
        <f t="shared" si="465"/>
        <v>0</v>
      </c>
      <c r="DW90" s="60"/>
      <c r="DX90" s="60" t="e">
        <f t="shared" ca="1" si="466"/>
        <v>#NAME?</v>
      </c>
    </row>
    <row r="91" spans="1:128" s="19" customFormat="1" ht="16" customHeight="1">
      <c r="A91" s="18"/>
      <c r="B91" s="17" t="s">
        <v>451</v>
      </c>
      <c r="C91" s="109" t="s">
        <v>461</v>
      </c>
      <c r="D91" s="16"/>
      <c r="E91" s="16"/>
      <c r="F91" s="16"/>
      <c r="G91" s="16"/>
      <c r="H91" s="20">
        <v>0</v>
      </c>
      <c r="I91" s="20">
        <v>0</v>
      </c>
      <c r="J91" s="20">
        <v>0</v>
      </c>
      <c r="K91" s="20">
        <v>0</v>
      </c>
      <c r="L91" s="20">
        <v>0</v>
      </c>
      <c r="M91" s="20"/>
      <c r="N91" s="20">
        <v>0</v>
      </c>
      <c r="O91" s="20">
        <v>0</v>
      </c>
      <c r="P91" s="20">
        <v>0</v>
      </c>
      <c r="Q91" s="20">
        <v>0</v>
      </c>
      <c r="R91" s="20">
        <v>61.341653503096552</v>
      </c>
      <c r="S91" s="20">
        <v>0</v>
      </c>
      <c r="T91" s="20">
        <v>0</v>
      </c>
      <c r="U91" s="20">
        <v>0</v>
      </c>
      <c r="V91" s="20">
        <v>38.658346496903448</v>
      </c>
      <c r="W91" s="20">
        <v>0</v>
      </c>
      <c r="X91" s="20">
        <v>0</v>
      </c>
      <c r="Y91" s="20">
        <v>0</v>
      </c>
      <c r="Z91" s="20">
        <v>0</v>
      </c>
      <c r="AA91" s="20">
        <v>0</v>
      </c>
      <c r="AB91" s="55"/>
      <c r="AC91" s="20">
        <v>0</v>
      </c>
      <c r="AD91" s="20">
        <v>0</v>
      </c>
      <c r="AE91" s="20">
        <v>0</v>
      </c>
      <c r="AF91" s="20">
        <v>0</v>
      </c>
      <c r="AG91" s="20">
        <v>0</v>
      </c>
      <c r="AH91" s="20">
        <v>0</v>
      </c>
      <c r="AI91" s="20">
        <v>0</v>
      </c>
      <c r="AJ91" s="20">
        <v>0</v>
      </c>
      <c r="AK91" s="20">
        <v>0</v>
      </c>
      <c r="AL91" s="20">
        <v>0</v>
      </c>
      <c r="AM91" s="20">
        <v>0</v>
      </c>
      <c r="AN91" s="20">
        <v>0</v>
      </c>
      <c r="AO91" s="20">
        <v>0</v>
      </c>
      <c r="AP91" s="20">
        <v>0</v>
      </c>
      <c r="AQ91" s="20">
        <v>0</v>
      </c>
      <c r="AR91" s="20">
        <v>0</v>
      </c>
      <c r="AS91" s="55"/>
      <c r="AT91"/>
      <c r="AU91" s="20">
        <v>0</v>
      </c>
      <c r="AV91" s="20"/>
      <c r="AW91" s="11">
        <f t="shared" si="393"/>
        <v>0</v>
      </c>
      <c r="AX91" s="11">
        <f t="shared" si="394"/>
        <v>0</v>
      </c>
      <c r="AY91" s="11">
        <f t="shared" si="395"/>
        <v>0</v>
      </c>
      <c r="AZ91" s="11">
        <f t="shared" si="396"/>
        <v>0</v>
      </c>
      <c r="BA91" s="11">
        <f t="shared" si="397"/>
        <v>0</v>
      </c>
      <c r="BB91" s="11">
        <f t="shared" si="398"/>
        <v>0</v>
      </c>
      <c r="BC91" s="11">
        <f t="shared" si="399"/>
        <v>0</v>
      </c>
      <c r="BD91" s="11">
        <f t="shared" si="400"/>
        <v>0</v>
      </c>
      <c r="BE91" s="11">
        <f t="shared" si="401"/>
        <v>0</v>
      </c>
      <c r="BF91" s="11">
        <f t="shared" si="402"/>
        <v>0</v>
      </c>
      <c r="BG91" s="11">
        <f t="shared" si="403"/>
        <v>66.47999999999999</v>
      </c>
      <c r="BH91" s="11">
        <f t="shared" si="404"/>
        <v>0</v>
      </c>
      <c r="BI91" s="11">
        <f t="shared" si="405"/>
        <v>0</v>
      </c>
      <c r="BJ91" s="56">
        <f t="shared" si="406"/>
        <v>0</v>
      </c>
      <c r="BK91" s="11">
        <f t="shared" si="407"/>
        <v>33.520000000000003</v>
      </c>
      <c r="BL91" s="34">
        <f t="shared" si="408"/>
        <v>0</v>
      </c>
      <c r="BM91" s="11">
        <f t="shared" si="409"/>
        <v>0</v>
      </c>
      <c r="BN91" s="11">
        <f t="shared" si="410"/>
        <v>0</v>
      </c>
      <c r="BO91" s="11">
        <f t="shared" si="411"/>
        <v>0</v>
      </c>
      <c r="BP91" s="11">
        <f t="shared" si="412"/>
        <v>0</v>
      </c>
      <c r="BQ91" s="54"/>
      <c r="BR91" s="56">
        <f t="shared" si="413"/>
        <v>0</v>
      </c>
      <c r="BS91" s="56">
        <f t="shared" si="414"/>
        <v>0</v>
      </c>
      <c r="BT91" s="56">
        <f t="shared" si="415"/>
        <v>0</v>
      </c>
      <c r="BU91" s="56">
        <f t="shared" si="416"/>
        <v>0</v>
      </c>
      <c r="BV91" s="56">
        <f t="shared" si="417"/>
        <v>0</v>
      </c>
      <c r="BW91" s="56">
        <f t="shared" si="418"/>
        <v>0</v>
      </c>
      <c r="BX91" s="56">
        <f t="shared" si="419"/>
        <v>0</v>
      </c>
      <c r="BY91" s="56">
        <f t="shared" si="420"/>
        <v>0</v>
      </c>
      <c r="BZ91" s="56">
        <f t="shared" si="421"/>
        <v>0</v>
      </c>
      <c r="CA91" s="56">
        <f t="shared" si="422"/>
        <v>0</v>
      </c>
      <c r="CB91" s="56">
        <f t="shared" si="423"/>
        <v>0</v>
      </c>
      <c r="CC91" s="56">
        <f t="shared" si="424"/>
        <v>0</v>
      </c>
      <c r="CD91" s="56">
        <f t="shared" si="425"/>
        <v>0</v>
      </c>
      <c r="CE91" s="56">
        <f t="shared" si="426"/>
        <v>0</v>
      </c>
      <c r="CF91" s="56">
        <f t="shared" si="427"/>
        <v>0</v>
      </c>
      <c r="CG91" s="56">
        <f t="shared" si="428"/>
        <v>0</v>
      </c>
      <c r="CH91" s="54"/>
      <c r="CI91" s="11"/>
      <c r="CJ91" s="12" t="e">
        <f t="shared" ca="1" si="429"/>
        <v>#NAME?</v>
      </c>
      <c r="CK91" s="16"/>
      <c r="CL91" s="60">
        <f t="shared" si="430"/>
        <v>0</v>
      </c>
      <c r="CM91" s="60">
        <f t="shared" si="431"/>
        <v>0</v>
      </c>
      <c r="CN91" s="60">
        <f t="shared" si="432"/>
        <v>0</v>
      </c>
      <c r="CO91" s="60">
        <f t="shared" si="433"/>
        <v>0</v>
      </c>
      <c r="CP91" s="60">
        <f t="shared" si="434"/>
        <v>0</v>
      </c>
      <c r="CQ91" s="60">
        <f t="shared" si="435"/>
        <v>0</v>
      </c>
      <c r="CR91" s="60">
        <f t="shared" si="436"/>
        <v>0</v>
      </c>
      <c r="CS91" s="60">
        <f t="shared" si="437"/>
        <v>0</v>
      </c>
      <c r="CT91" s="60">
        <f t="shared" si="438"/>
        <v>0</v>
      </c>
      <c r="CU91" s="60">
        <f t="shared" si="439"/>
        <v>0</v>
      </c>
      <c r="CV91" s="60">
        <f t="shared" si="440"/>
        <v>0</v>
      </c>
      <c r="CW91" s="60">
        <f t="shared" si="441"/>
        <v>52.638691368753932</v>
      </c>
      <c r="CX91" s="60">
        <f t="shared" si="442"/>
        <v>0</v>
      </c>
      <c r="CY91" s="60">
        <f t="shared" si="443"/>
        <v>0</v>
      </c>
      <c r="CZ91" s="60">
        <f t="shared" si="444"/>
        <v>0</v>
      </c>
      <c r="DA91" s="60">
        <f t="shared" si="445"/>
        <v>47.361308631246068</v>
      </c>
      <c r="DB91" s="60">
        <f t="shared" si="446"/>
        <v>0</v>
      </c>
      <c r="DC91" s="60">
        <f t="shared" si="447"/>
        <v>0</v>
      </c>
      <c r="DD91" s="60">
        <f t="shared" si="448"/>
        <v>0</v>
      </c>
      <c r="DE91" s="60">
        <f t="shared" si="449"/>
        <v>0</v>
      </c>
      <c r="DF91" s="55"/>
      <c r="DG91" s="60">
        <f t="shared" si="450"/>
        <v>0</v>
      </c>
      <c r="DH91" s="60">
        <f t="shared" si="451"/>
        <v>0</v>
      </c>
      <c r="DI91" s="60">
        <f t="shared" si="452"/>
        <v>0</v>
      </c>
      <c r="DJ91" s="60">
        <f t="shared" si="453"/>
        <v>0</v>
      </c>
      <c r="DK91" s="60">
        <f t="shared" si="454"/>
        <v>0</v>
      </c>
      <c r="DL91" s="60">
        <f t="shared" si="455"/>
        <v>0</v>
      </c>
      <c r="DM91" s="60">
        <f t="shared" si="456"/>
        <v>0</v>
      </c>
      <c r="DN91" s="60">
        <f t="shared" si="457"/>
        <v>0</v>
      </c>
      <c r="DO91" s="60">
        <f t="shared" si="458"/>
        <v>0</v>
      </c>
      <c r="DP91" s="60">
        <f t="shared" si="459"/>
        <v>0</v>
      </c>
      <c r="DQ91" s="60">
        <f t="shared" si="460"/>
        <v>0</v>
      </c>
      <c r="DR91" s="60">
        <f t="shared" si="461"/>
        <v>0</v>
      </c>
      <c r="DS91" s="60">
        <f t="shared" si="462"/>
        <v>0</v>
      </c>
      <c r="DT91" s="60">
        <f t="shared" si="463"/>
        <v>0</v>
      </c>
      <c r="DU91" s="60">
        <f t="shared" si="464"/>
        <v>0</v>
      </c>
      <c r="DV91" s="60">
        <f t="shared" si="465"/>
        <v>0</v>
      </c>
      <c r="DW91" s="60"/>
      <c r="DX91" s="60" t="e">
        <f t="shared" ca="1" si="466"/>
        <v>#NAME?</v>
      </c>
    </row>
    <row r="92" spans="1:128" s="19" customFormat="1" ht="16" customHeight="1">
      <c r="A92" s="18"/>
      <c r="B92" s="17" t="s">
        <v>452</v>
      </c>
      <c r="C92" s="109" t="s">
        <v>461</v>
      </c>
      <c r="D92" s="16"/>
      <c r="E92" s="16"/>
      <c r="F92" s="16"/>
      <c r="G92" s="16"/>
      <c r="H92" s="20">
        <v>36.941544435697566</v>
      </c>
      <c r="I92" s="20">
        <v>0</v>
      </c>
      <c r="J92" s="20">
        <v>0</v>
      </c>
      <c r="K92" s="20">
        <v>0</v>
      </c>
      <c r="L92" s="20">
        <v>0</v>
      </c>
      <c r="M92" s="20"/>
      <c r="N92" s="20">
        <v>0</v>
      </c>
      <c r="O92" s="20">
        <v>0</v>
      </c>
      <c r="P92" s="20">
        <v>0</v>
      </c>
      <c r="Q92" s="20">
        <v>0</v>
      </c>
      <c r="R92" s="20">
        <v>0</v>
      </c>
      <c r="S92" s="20">
        <v>0</v>
      </c>
      <c r="T92" s="20">
        <v>0</v>
      </c>
      <c r="U92" s="20">
        <v>0</v>
      </c>
      <c r="V92" s="20">
        <v>0</v>
      </c>
      <c r="W92" s="20">
        <v>0</v>
      </c>
      <c r="X92" s="20">
        <v>0</v>
      </c>
      <c r="Y92" s="20">
        <v>63.058455564302449</v>
      </c>
      <c r="Z92" s="20">
        <v>0</v>
      </c>
      <c r="AA92" s="20">
        <v>0</v>
      </c>
      <c r="AB92" s="55"/>
      <c r="AC92" s="20">
        <v>0</v>
      </c>
      <c r="AD92" s="20">
        <v>0</v>
      </c>
      <c r="AE92" s="20">
        <v>0</v>
      </c>
      <c r="AF92" s="20">
        <v>0</v>
      </c>
      <c r="AG92" s="20">
        <v>0</v>
      </c>
      <c r="AH92" s="20">
        <v>0</v>
      </c>
      <c r="AI92" s="20">
        <v>0</v>
      </c>
      <c r="AJ92" s="20">
        <v>0</v>
      </c>
      <c r="AK92" s="20">
        <v>0</v>
      </c>
      <c r="AL92" s="20">
        <v>0</v>
      </c>
      <c r="AM92" s="20">
        <v>0</v>
      </c>
      <c r="AN92" s="20">
        <v>0</v>
      </c>
      <c r="AO92" s="20">
        <v>0</v>
      </c>
      <c r="AP92" s="20">
        <v>0</v>
      </c>
      <c r="AQ92" s="20">
        <v>0</v>
      </c>
      <c r="AR92" s="20">
        <v>0</v>
      </c>
      <c r="AS92" s="55"/>
      <c r="AT92"/>
      <c r="AU92" s="20">
        <v>0</v>
      </c>
      <c r="AV92" s="20"/>
      <c r="AW92" s="11">
        <f t="shared" si="393"/>
        <v>50.70000000000001</v>
      </c>
      <c r="AX92" s="11">
        <f t="shared" si="394"/>
        <v>0</v>
      </c>
      <c r="AY92" s="11">
        <f t="shared" si="395"/>
        <v>0</v>
      </c>
      <c r="AZ92" s="11">
        <f t="shared" si="396"/>
        <v>0</v>
      </c>
      <c r="BA92" s="11">
        <f t="shared" si="397"/>
        <v>0</v>
      </c>
      <c r="BB92" s="11">
        <f t="shared" si="398"/>
        <v>0</v>
      </c>
      <c r="BC92" s="11">
        <f t="shared" si="399"/>
        <v>0</v>
      </c>
      <c r="BD92" s="11">
        <f t="shared" si="400"/>
        <v>0</v>
      </c>
      <c r="BE92" s="11">
        <f t="shared" si="401"/>
        <v>0</v>
      </c>
      <c r="BF92" s="11">
        <f t="shared" si="402"/>
        <v>0</v>
      </c>
      <c r="BG92" s="11">
        <f t="shared" si="403"/>
        <v>0</v>
      </c>
      <c r="BH92" s="11">
        <f t="shared" si="404"/>
        <v>0</v>
      </c>
      <c r="BI92" s="11">
        <f t="shared" si="405"/>
        <v>0</v>
      </c>
      <c r="BJ92" s="56">
        <f t="shared" si="406"/>
        <v>0</v>
      </c>
      <c r="BK92" s="11">
        <f t="shared" si="407"/>
        <v>0</v>
      </c>
      <c r="BL92" s="34">
        <f t="shared" si="408"/>
        <v>0</v>
      </c>
      <c r="BM92" s="11">
        <f t="shared" si="409"/>
        <v>0</v>
      </c>
      <c r="BN92" s="11">
        <f t="shared" si="410"/>
        <v>0</v>
      </c>
      <c r="BO92" s="11">
        <f t="shared" si="411"/>
        <v>49.29999999999999</v>
      </c>
      <c r="BP92" s="11">
        <f t="shared" si="412"/>
        <v>0</v>
      </c>
      <c r="BQ92" s="54"/>
      <c r="BR92" s="56">
        <f t="shared" si="413"/>
        <v>0</v>
      </c>
      <c r="BS92" s="56">
        <f t="shared" si="414"/>
        <v>0</v>
      </c>
      <c r="BT92" s="56">
        <f t="shared" si="415"/>
        <v>0</v>
      </c>
      <c r="BU92" s="56">
        <f t="shared" si="416"/>
        <v>0</v>
      </c>
      <c r="BV92" s="56">
        <f t="shared" si="417"/>
        <v>0</v>
      </c>
      <c r="BW92" s="56">
        <f t="shared" si="418"/>
        <v>0</v>
      </c>
      <c r="BX92" s="56">
        <f t="shared" si="419"/>
        <v>0</v>
      </c>
      <c r="BY92" s="56">
        <f t="shared" si="420"/>
        <v>0</v>
      </c>
      <c r="BZ92" s="56">
        <f t="shared" si="421"/>
        <v>0</v>
      </c>
      <c r="CA92" s="56">
        <f t="shared" si="422"/>
        <v>0</v>
      </c>
      <c r="CB92" s="56">
        <f t="shared" si="423"/>
        <v>0</v>
      </c>
      <c r="CC92" s="56">
        <f t="shared" si="424"/>
        <v>0</v>
      </c>
      <c r="CD92" s="56">
        <f t="shared" si="425"/>
        <v>0</v>
      </c>
      <c r="CE92" s="56">
        <f t="shared" si="426"/>
        <v>0</v>
      </c>
      <c r="CF92" s="56">
        <f t="shared" si="427"/>
        <v>0</v>
      </c>
      <c r="CG92" s="56">
        <f t="shared" si="428"/>
        <v>0</v>
      </c>
      <c r="CH92" s="54"/>
      <c r="CI92" s="11"/>
      <c r="CJ92" s="12" t="e">
        <f t="shared" ca="1" si="429"/>
        <v>#NAME?</v>
      </c>
      <c r="CK92" s="16"/>
      <c r="CL92" s="60">
        <f t="shared" si="430"/>
        <v>100</v>
      </c>
      <c r="CM92" s="60">
        <f t="shared" si="431"/>
        <v>0</v>
      </c>
      <c r="CN92" s="60">
        <f t="shared" si="432"/>
        <v>0</v>
      </c>
      <c r="CO92" s="60">
        <f t="shared" si="433"/>
        <v>0</v>
      </c>
      <c r="CP92" s="60">
        <f t="shared" si="434"/>
        <v>0</v>
      </c>
      <c r="CQ92" s="60">
        <f t="shared" si="435"/>
        <v>0</v>
      </c>
      <c r="CR92" s="60">
        <f t="shared" si="436"/>
        <v>0</v>
      </c>
      <c r="CS92" s="60">
        <f t="shared" si="437"/>
        <v>0</v>
      </c>
      <c r="CT92" s="60">
        <f t="shared" si="438"/>
        <v>0</v>
      </c>
      <c r="CU92" s="60">
        <f t="shared" si="439"/>
        <v>0</v>
      </c>
      <c r="CV92" s="60">
        <f t="shared" si="440"/>
        <v>0</v>
      </c>
      <c r="CW92" s="60">
        <f t="shared" si="441"/>
        <v>0</v>
      </c>
      <c r="CX92" s="60">
        <f t="shared" si="442"/>
        <v>0</v>
      </c>
      <c r="CY92" s="60">
        <f t="shared" si="443"/>
        <v>0</v>
      </c>
      <c r="CZ92" s="60">
        <f t="shared" si="444"/>
        <v>0</v>
      </c>
      <c r="DA92" s="60">
        <f t="shared" si="445"/>
        <v>0</v>
      </c>
      <c r="DB92" s="60">
        <f t="shared" si="446"/>
        <v>0</v>
      </c>
      <c r="DC92" s="60">
        <f t="shared" si="447"/>
        <v>0</v>
      </c>
      <c r="DD92" s="60">
        <f t="shared" si="448"/>
        <v>0</v>
      </c>
      <c r="DE92" s="60">
        <f t="shared" si="449"/>
        <v>0</v>
      </c>
      <c r="DF92" s="55"/>
      <c r="DG92" s="60">
        <f t="shared" si="450"/>
        <v>0</v>
      </c>
      <c r="DH92" s="60">
        <f t="shared" si="451"/>
        <v>0</v>
      </c>
      <c r="DI92" s="60">
        <f t="shared" si="452"/>
        <v>0</v>
      </c>
      <c r="DJ92" s="60">
        <f t="shared" si="453"/>
        <v>0</v>
      </c>
      <c r="DK92" s="60">
        <f t="shared" si="454"/>
        <v>0</v>
      </c>
      <c r="DL92" s="60">
        <f t="shared" si="455"/>
        <v>0</v>
      </c>
      <c r="DM92" s="60">
        <f t="shared" si="456"/>
        <v>0</v>
      </c>
      <c r="DN92" s="60">
        <f t="shared" si="457"/>
        <v>0</v>
      </c>
      <c r="DO92" s="60">
        <f t="shared" si="458"/>
        <v>0</v>
      </c>
      <c r="DP92" s="60">
        <f t="shared" si="459"/>
        <v>0</v>
      </c>
      <c r="DQ92" s="60">
        <f t="shared" si="460"/>
        <v>0</v>
      </c>
      <c r="DR92" s="60">
        <f t="shared" si="461"/>
        <v>0</v>
      </c>
      <c r="DS92" s="60">
        <f t="shared" si="462"/>
        <v>0</v>
      </c>
      <c r="DT92" s="60">
        <f t="shared" si="463"/>
        <v>0</v>
      </c>
      <c r="DU92" s="60">
        <f t="shared" si="464"/>
        <v>0</v>
      </c>
      <c r="DV92" s="60">
        <f t="shared" si="465"/>
        <v>0</v>
      </c>
      <c r="DW92" s="60"/>
      <c r="DX92" s="60" t="e">
        <f t="shared" ca="1" si="466"/>
        <v>#NAME?</v>
      </c>
    </row>
    <row r="93" spans="1:128" s="19" customFormat="1" ht="16" customHeight="1">
      <c r="A93" s="18"/>
      <c r="B93" s="17" t="s">
        <v>453</v>
      </c>
      <c r="C93" s="109" t="s">
        <v>461</v>
      </c>
      <c r="D93" s="16"/>
      <c r="E93" s="16"/>
      <c r="F93" s="16"/>
      <c r="G93" s="16"/>
      <c r="H93" s="20">
        <v>0</v>
      </c>
      <c r="I93" s="20">
        <v>0</v>
      </c>
      <c r="J93" s="20">
        <v>0</v>
      </c>
      <c r="K93" s="20">
        <v>0</v>
      </c>
      <c r="L93" s="20">
        <v>0</v>
      </c>
      <c r="M93" s="20"/>
      <c r="N93" s="20">
        <v>0</v>
      </c>
      <c r="O93" s="20">
        <v>0</v>
      </c>
      <c r="P93" s="20">
        <v>0</v>
      </c>
      <c r="Q93" s="20">
        <v>0</v>
      </c>
      <c r="R93" s="20">
        <v>0</v>
      </c>
      <c r="S93" s="20">
        <v>0</v>
      </c>
      <c r="T93" s="20">
        <v>0</v>
      </c>
      <c r="U93" s="20">
        <v>0</v>
      </c>
      <c r="V93" s="20">
        <v>0</v>
      </c>
      <c r="W93" s="20">
        <v>0</v>
      </c>
      <c r="X93" s="20">
        <v>0</v>
      </c>
      <c r="Y93" s="20">
        <v>74.592564578527757</v>
      </c>
      <c r="Z93" s="20">
        <v>0</v>
      </c>
      <c r="AA93" s="20">
        <v>0</v>
      </c>
      <c r="AB93" s="55"/>
      <c r="AC93" s="20">
        <v>0</v>
      </c>
      <c r="AD93" s="20">
        <v>0</v>
      </c>
      <c r="AE93" s="20">
        <v>0</v>
      </c>
      <c r="AF93" s="20">
        <v>0</v>
      </c>
      <c r="AG93" s="20">
        <v>0</v>
      </c>
      <c r="AH93" s="20">
        <v>25.407435421472254</v>
      </c>
      <c r="AI93" s="20">
        <v>0</v>
      </c>
      <c r="AJ93" s="20">
        <v>0</v>
      </c>
      <c r="AK93" s="20">
        <v>0</v>
      </c>
      <c r="AL93" s="20">
        <v>0</v>
      </c>
      <c r="AM93" s="20">
        <v>0</v>
      </c>
      <c r="AN93" s="20">
        <v>0</v>
      </c>
      <c r="AO93" s="20">
        <v>0</v>
      </c>
      <c r="AP93" s="20">
        <v>0</v>
      </c>
      <c r="AQ93" s="20">
        <v>0</v>
      </c>
      <c r="AR93" s="20">
        <v>0</v>
      </c>
      <c r="AS93" s="55"/>
      <c r="AT93"/>
      <c r="AU93" s="20">
        <v>0</v>
      </c>
      <c r="AV93" s="20"/>
      <c r="AW93" s="11">
        <f t="shared" si="393"/>
        <v>0</v>
      </c>
      <c r="AX93" s="11">
        <f t="shared" si="394"/>
        <v>0</v>
      </c>
      <c r="AY93" s="11">
        <f t="shared" si="395"/>
        <v>0</v>
      </c>
      <c r="AZ93" s="11">
        <f t="shared" si="396"/>
        <v>0</v>
      </c>
      <c r="BA93" s="11">
        <f t="shared" si="397"/>
        <v>0</v>
      </c>
      <c r="BB93" s="11">
        <f t="shared" si="398"/>
        <v>0</v>
      </c>
      <c r="BC93" s="11">
        <f t="shared" si="399"/>
        <v>0</v>
      </c>
      <c r="BD93" s="11">
        <f t="shared" si="400"/>
        <v>0</v>
      </c>
      <c r="BE93" s="11">
        <f t="shared" si="401"/>
        <v>0</v>
      </c>
      <c r="BF93" s="11">
        <f t="shared" si="402"/>
        <v>0</v>
      </c>
      <c r="BG93" s="11">
        <f t="shared" si="403"/>
        <v>0</v>
      </c>
      <c r="BH93" s="11">
        <f t="shared" si="404"/>
        <v>0</v>
      </c>
      <c r="BI93" s="11">
        <f t="shared" si="405"/>
        <v>0</v>
      </c>
      <c r="BJ93" s="56">
        <f t="shared" si="406"/>
        <v>0</v>
      </c>
      <c r="BK93" s="11">
        <f t="shared" si="407"/>
        <v>0</v>
      </c>
      <c r="BL93" s="34">
        <f t="shared" si="408"/>
        <v>0</v>
      </c>
      <c r="BM93" s="11">
        <f t="shared" si="409"/>
        <v>0</v>
      </c>
      <c r="BN93" s="11">
        <f t="shared" si="410"/>
        <v>0</v>
      </c>
      <c r="BO93" s="11">
        <f t="shared" si="411"/>
        <v>18.480000000000004</v>
      </c>
      <c r="BP93" s="11">
        <f t="shared" si="412"/>
        <v>0</v>
      </c>
      <c r="BQ93" s="54"/>
      <c r="BR93" s="56">
        <f t="shared" si="413"/>
        <v>0</v>
      </c>
      <c r="BS93" s="56">
        <f t="shared" si="414"/>
        <v>0</v>
      </c>
      <c r="BT93" s="56">
        <f t="shared" si="415"/>
        <v>0</v>
      </c>
      <c r="BU93" s="56">
        <f t="shared" si="416"/>
        <v>0</v>
      </c>
      <c r="BV93" s="56">
        <f t="shared" si="417"/>
        <v>0</v>
      </c>
      <c r="BW93" s="56">
        <f t="shared" si="418"/>
        <v>81.52000000000001</v>
      </c>
      <c r="BX93" s="56">
        <f t="shared" si="419"/>
        <v>0</v>
      </c>
      <c r="BY93" s="56">
        <f t="shared" si="420"/>
        <v>0</v>
      </c>
      <c r="BZ93" s="56">
        <f t="shared" si="421"/>
        <v>0</v>
      </c>
      <c r="CA93" s="56">
        <f t="shared" si="422"/>
        <v>0</v>
      </c>
      <c r="CB93" s="56">
        <f t="shared" si="423"/>
        <v>0</v>
      </c>
      <c r="CC93" s="56">
        <f t="shared" si="424"/>
        <v>0</v>
      </c>
      <c r="CD93" s="56">
        <f t="shared" si="425"/>
        <v>0</v>
      </c>
      <c r="CE93" s="56">
        <f t="shared" si="426"/>
        <v>0</v>
      </c>
      <c r="CF93" s="56">
        <f t="shared" si="427"/>
        <v>0</v>
      </c>
      <c r="CG93" s="56">
        <f t="shared" si="428"/>
        <v>0</v>
      </c>
      <c r="CH93" s="54"/>
      <c r="CI93" s="11"/>
      <c r="CJ93" s="12" t="e">
        <f t="shared" ca="1" si="429"/>
        <v>#NAME?</v>
      </c>
      <c r="CK93" s="16"/>
      <c r="CL93" s="60">
        <f t="shared" si="430"/>
        <v>0</v>
      </c>
      <c r="CM93" s="60">
        <f t="shared" si="431"/>
        <v>0</v>
      </c>
      <c r="CN93" s="60">
        <f t="shared" si="432"/>
        <v>0</v>
      </c>
      <c r="CO93" s="60">
        <f t="shared" si="433"/>
        <v>0</v>
      </c>
      <c r="CP93" s="60">
        <f t="shared" si="434"/>
        <v>0</v>
      </c>
      <c r="CQ93" s="60">
        <f t="shared" si="435"/>
        <v>0</v>
      </c>
      <c r="CR93" s="60">
        <f t="shared" si="436"/>
        <v>0</v>
      </c>
      <c r="CS93" s="60">
        <f t="shared" si="437"/>
        <v>0</v>
      </c>
      <c r="CT93" s="60">
        <f t="shared" si="438"/>
        <v>0</v>
      </c>
      <c r="CU93" s="60">
        <f t="shared" si="439"/>
        <v>0</v>
      </c>
      <c r="CV93" s="60">
        <f t="shared" si="440"/>
        <v>0</v>
      </c>
      <c r="CW93" s="60">
        <f t="shared" si="441"/>
        <v>0</v>
      </c>
      <c r="CX93" s="60">
        <f t="shared" si="442"/>
        <v>0</v>
      </c>
      <c r="CY93" s="60">
        <f t="shared" si="443"/>
        <v>0</v>
      </c>
      <c r="CZ93" s="60">
        <f t="shared" si="444"/>
        <v>0</v>
      </c>
      <c r="DA93" s="60">
        <f t="shared" si="445"/>
        <v>0</v>
      </c>
      <c r="DB93" s="60">
        <f t="shared" si="446"/>
        <v>0</v>
      </c>
      <c r="DC93" s="60">
        <f t="shared" si="447"/>
        <v>0</v>
      </c>
      <c r="DD93" s="60">
        <f t="shared" si="448"/>
        <v>0</v>
      </c>
      <c r="DE93" s="60">
        <f t="shared" si="449"/>
        <v>0</v>
      </c>
      <c r="DF93" s="55"/>
      <c r="DG93" s="60">
        <f t="shared" si="450"/>
        <v>0</v>
      </c>
      <c r="DH93" s="60">
        <f t="shared" si="451"/>
        <v>0</v>
      </c>
      <c r="DI93" s="60">
        <f t="shared" si="452"/>
        <v>0</v>
      </c>
      <c r="DJ93" s="60">
        <f t="shared" si="453"/>
        <v>0</v>
      </c>
      <c r="DK93" s="60">
        <f t="shared" si="454"/>
        <v>0</v>
      </c>
      <c r="DL93" s="60">
        <f t="shared" si="455"/>
        <v>100</v>
      </c>
      <c r="DM93" s="60">
        <f t="shared" si="456"/>
        <v>0</v>
      </c>
      <c r="DN93" s="60">
        <f t="shared" si="457"/>
        <v>0</v>
      </c>
      <c r="DO93" s="60">
        <f t="shared" si="458"/>
        <v>0</v>
      </c>
      <c r="DP93" s="60">
        <f t="shared" si="459"/>
        <v>0</v>
      </c>
      <c r="DQ93" s="60">
        <f t="shared" si="460"/>
        <v>0</v>
      </c>
      <c r="DR93" s="60">
        <f t="shared" si="461"/>
        <v>0</v>
      </c>
      <c r="DS93" s="60">
        <f t="shared" si="462"/>
        <v>0</v>
      </c>
      <c r="DT93" s="60">
        <f t="shared" si="463"/>
        <v>0</v>
      </c>
      <c r="DU93" s="60">
        <f t="shared" si="464"/>
        <v>0</v>
      </c>
      <c r="DV93" s="60">
        <f t="shared" si="465"/>
        <v>0</v>
      </c>
      <c r="DW93" s="60"/>
      <c r="DX93" s="60" t="e">
        <f t="shared" ca="1" si="466"/>
        <v>#NAME?</v>
      </c>
    </row>
    <row r="94" spans="1:128" s="19" customFormat="1" ht="16" customHeight="1">
      <c r="A94" s="18"/>
      <c r="B94" s="17" t="s">
        <v>454</v>
      </c>
      <c r="C94" s="109" t="s">
        <v>461</v>
      </c>
      <c r="D94" s="16"/>
      <c r="E94" s="16"/>
      <c r="F94" s="16"/>
      <c r="G94" s="16"/>
      <c r="H94" s="20">
        <v>0</v>
      </c>
      <c r="I94" s="20">
        <v>0</v>
      </c>
      <c r="J94" s="20">
        <v>0</v>
      </c>
      <c r="K94" s="20">
        <v>0</v>
      </c>
      <c r="L94" s="20">
        <v>0</v>
      </c>
      <c r="M94" s="20"/>
      <c r="N94" s="20">
        <v>0</v>
      </c>
      <c r="O94" s="20">
        <v>0</v>
      </c>
      <c r="P94" s="20">
        <v>0</v>
      </c>
      <c r="Q94" s="20">
        <v>0</v>
      </c>
      <c r="R94" s="20">
        <v>7.3839976928859032</v>
      </c>
      <c r="S94" s="20">
        <v>0</v>
      </c>
      <c r="T94" s="20">
        <v>0</v>
      </c>
      <c r="U94" s="20">
        <v>9.6395852033456482</v>
      </c>
      <c r="V94" s="20">
        <v>0</v>
      </c>
      <c r="W94" s="20">
        <v>0</v>
      </c>
      <c r="X94" s="20">
        <v>0</v>
      </c>
      <c r="Y94" s="20">
        <v>70.03080431163707</v>
      </c>
      <c r="Z94" s="20">
        <v>0</v>
      </c>
      <c r="AA94" s="20">
        <v>0</v>
      </c>
      <c r="AB94" s="55"/>
      <c r="AC94" s="20">
        <v>0</v>
      </c>
      <c r="AD94" s="20">
        <v>0</v>
      </c>
      <c r="AE94" s="20">
        <v>0</v>
      </c>
      <c r="AF94" s="20">
        <v>0</v>
      </c>
      <c r="AG94" s="20">
        <v>0</v>
      </c>
      <c r="AH94" s="20">
        <v>12.945612792131381</v>
      </c>
      <c r="AI94" s="20">
        <v>0</v>
      </c>
      <c r="AJ94" s="20">
        <v>0</v>
      </c>
      <c r="AK94" s="20">
        <v>0</v>
      </c>
      <c r="AL94" s="20">
        <v>0</v>
      </c>
      <c r="AM94" s="20">
        <v>0</v>
      </c>
      <c r="AN94" s="20">
        <v>0</v>
      </c>
      <c r="AO94" s="20">
        <v>0</v>
      </c>
      <c r="AP94" s="20">
        <v>0</v>
      </c>
      <c r="AQ94" s="20">
        <v>0</v>
      </c>
      <c r="AR94" s="20">
        <v>0</v>
      </c>
      <c r="AS94" s="55"/>
      <c r="AT94"/>
      <c r="AU94" s="20">
        <v>0</v>
      </c>
      <c r="AV94" s="20"/>
      <c r="AW94" s="11">
        <f t="shared" si="393"/>
        <v>0</v>
      </c>
      <c r="AX94" s="11">
        <f t="shared" si="394"/>
        <v>0</v>
      </c>
      <c r="AY94" s="11">
        <f t="shared" si="395"/>
        <v>0</v>
      </c>
      <c r="AZ94" s="11">
        <f t="shared" si="396"/>
        <v>0</v>
      </c>
      <c r="BA94" s="11">
        <f t="shared" si="397"/>
        <v>0</v>
      </c>
      <c r="BB94" s="11">
        <f t="shared" si="398"/>
        <v>0</v>
      </c>
      <c r="BC94" s="11">
        <f t="shared" si="399"/>
        <v>0</v>
      </c>
      <c r="BD94" s="11">
        <f t="shared" si="400"/>
        <v>0</v>
      </c>
      <c r="BE94" s="11">
        <f t="shared" si="401"/>
        <v>0</v>
      </c>
      <c r="BF94" s="11">
        <f t="shared" si="402"/>
        <v>0</v>
      </c>
      <c r="BG94" s="11">
        <f t="shared" si="403"/>
        <v>6.7299999999999995</v>
      </c>
      <c r="BH94" s="11">
        <f t="shared" si="404"/>
        <v>0</v>
      </c>
      <c r="BI94" s="11">
        <f t="shared" si="405"/>
        <v>0</v>
      </c>
      <c r="BJ94" s="56">
        <f t="shared" si="406"/>
        <v>6.79</v>
      </c>
      <c r="BK94" s="11">
        <f t="shared" si="407"/>
        <v>0</v>
      </c>
      <c r="BL94" s="34">
        <f t="shared" si="408"/>
        <v>0</v>
      </c>
      <c r="BM94" s="11">
        <f t="shared" si="409"/>
        <v>0</v>
      </c>
      <c r="BN94" s="11">
        <f t="shared" si="410"/>
        <v>0</v>
      </c>
      <c r="BO94" s="11">
        <f t="shared" si="411"/>
        <v>25.48</v>
      </c>
      <c r="BP94" s="11">
        <f t="shared" si="412"/>
        <v>0</v>
      </c>
      <c r="BQ94" s="54"/>
      <c r="BR94" s="56">
        <f t="shared" si="413"/>
        <v>0</v>
      </c>
      <c r="BS94" s="56">
        <f t="shared" si="414"/>
        <v>0</v>
      </c>
      <c r="BT94" s="56">
        <f t="shared" si="415"/>
        <v>0</v>
      </c>
      <c r="BU94" s="56">
        <f t="shared" si="416"/>
        <v>0</v>
      </c>
      <c r="BV94" s="56">
        <f t="shared" si="417"/>
        <v>0</v>
      </c>
      <c r="BW94" s="56">
        <f t="shared" si="418"/>
        <v>60.999999999999986</v>
      </c>
      <c r="BX94" s="56">
        <f t="shared" si="419"/>
        <v>0</v>
      </c>
      <c r="BY94" s="56">
        <f t="shared" si="420"/>
        <v>0</v>
      </c>
      <c r="BZ94" s="56">
        <f t="shared" si="421"/>
        <v>0</v>
      </c>
      <c r="CA94" s="56">
        <f t="shared" si="422"/>
        <v>0</v>
      </c>
      <c r="CB94" s="56">
        <f t="shared" si="423"/>
        <v>0</v>
      </c>
      <c r="CC94" s="56">
        <f t="shared" si="424"/>
        <v>0</v>
      </c>
      <c r="CD94" s="56">
        <f t="shared" si="425"/>
        <v>0</v>
      </c>
      <c r="CE94" s="56">
        <f t="shared" si="426"/>
        <v>0</v>
      </c>
      <c r="CF94" s="56">
        <f t="shared" si="427"/>
        <v>0</v>
      </c>
      <c r="CG94" s="56">
        <f t="shared" si="428"/>
        <v>0</v>
      </c>
      <c r="CH94" s="54"/>
      <c r="CI94" s="11"/>
      <c r="CJ94" s="12" t="e">
        <f t="shared" ca="1" si="429"/>
        <v>#NAME?</v>
      </c>
      <c r="CK94" s="16"/>
      <c r="CL94" s="60">
        <f t="shared" si="430"/>
        <v>0</v>
      </c>
      <c r="CM94" s="60">
        <f t="shared" si="431"/>
        <v>0</v>
      </c>
      <c r="CN94" s="60">
        <f t="shared" si="432"/>
        <v>0</v>
      </c>
      <c r="CO94" s="60">
        <f t="shared" si="433"/>
        <v>0</v>
      </c>
      <c r="CP94" s="60">
        <f t="shared" si="434"/>
        <v>0</v>
      </c>
      <c r="CQ94" s="60">
        <f t="shared" si="435"/>
        <v>0</v>
      </c>
      <c r="CR94" s="60">
        <f t="shared" si="436"/>
        <v>0</v>
      </c>
      <c r="CS94" s="60">
        <f t="shared" si="437"/>
        <v>0</v>
      </c>
      <c r="CT94" s="60">
        <f t="shared" si="438"/>
        <v>0</v>
      </c>
      <c r="CU94" s="60">
        <f t="shared" si="439"/>
        <v>0</v>
      </c>
      <c r="CV94" s="60">
        <f t="shared" si="440"/>
        <v>0</v>
      </c>
      <c r="CW94" s="60">
        <f t="shared" si="441"/>
        <v>10.384213223902371</v>
      </c>
      <c r="CX94" s="60">
        <f t="shared" si="442"/>
        <v>0</v>
      </c>
      <c r="CY94" s="60">
        <f t="shared" si="443"/>
        <v>0</v>
      </c>
      <c r="CZ94" s="60">
        <f t="shared" si="444"/>
        <v>17.156568344445798</v>
      </c>
      <c r="DA94" s="60">
        <f t="shared" si="445"/>
        <v>0</v>
      </c>
      <c r="DB94" s="60">
        <f t="shared" si="446"/>
        <v>0</v>
      </c>
      <c r="DC94" s="60">
        <f t="shared" si="447"/>
        <v>0</v>
      </c>
      <c r="DD94" s="60">
        <f t="shared" si="448"/>
        <v>0</v>
      </c>
      <c r="DE94" s="60">
        <f t="shared" si="449"/>
        <v>0</v>
      </c>
      <c r="DF94" s="55"/>
      <c r="DG94" s="60">
        <f t="shared" si="450"/>
        <v>0</v>
      </c>
      <c r="DH94" s="60">
        <f t="shared" si="451"/>
        <v>0</v>
      </c>
      <c r="DI94" s="60">
        <f t="shared" si="452"/>
        <v>0</v>
      </c>
      <c r="DJ94" s="60">
        <f t="shared" si="453"/>
        <v>0</v>
      </c>
      <c r="DK94" s="60">
        <f t="shared" si="454"/>
        <v>0</v>
      </c>
      <c r="DL94" s="60">
        <f t="shared" si="455"/>
        <v>72.459218431651834</v>
      </c>
      <c r="DM94" s="60">
        <f t="shared" si="456"/>
        <v>0</v>
      </c>
      <c r="DN94" s="60">
        <f t="shared" si="457"/>
        <v>0</v>
      </c>
      <c r="DO94" s="60">
        <f t="shared" si="458"/>
        <v>0</v>
      </c>
      <c r="DP94" s="60">
        <f t="shared" si="459"/>
        <v>0</v>
      </c>
      <c r="DQ94" s="60">
        <f t="shared" si="460"/>
        <v>0</v>
      </c>
      <c r="DR94" s="60">
        <f t="shared" si="461"/>
        <v>0</v>
      </c>
      <c r="DS94" s="60">
        <f t="shared" si="462"/>
        <v>0</v>
      </c>
      <c r="DT94" s="60">
        <f t="shared" si="463"/>
        <v>0</v>
      </c>
      <c r="DU94" s="60">
        <f t="shared" si="464"/>
        <v>0</v>
      </c>
      <c r="DV94" s="60">
        <f t="shared" si="465"/>
        <v>0</v>
      </c>
      <c r="DW94" s="60"/>
      <c r="DX94" s="60" t="e">
        <f t="shared" ca="1" si="466"/>
        <v>#NAME?</v>
      </c>
    </row>
    <row r="95" spans="1:128" s="19" customFormat="1" ht="16" customHeight="1">
      <c r="A95" s="18"/>
      <c r="B95" s="17" t="s">
        <v>455</v>
      </c>
      <c r="C95" s="109" t="s">
        <v>461</v>
      </c>
      <c r="D95" s="16"/>
      <c r="E95" s="16"/>
      <c r="F95" s="16"/>
      <c r="G95" s="16"/>
      <c r="H95" s="20">
        <v>7.3100529840362771</v>
      </c>
      <c r="I95" s="20">
        <v>0</v>
      </c>
      <c r="J95" s="20">
        <v>0</v>
      </c>
      <c r="K95" s="20">
        <v>0</v>
      </c>
      <c r="L95" s="20">
        <v>0</v>
      </c>
      <c r="M95" s="20"/>
      <c r="N95" s="20">
        <v>0</v>
      </c>
      <c r="O95" s="20">
        <v>0</v>
      </c>
      <c r="P95" s="20">
        <v>0</v>
      </c>
      <c r="Q95" s="20">
        <v>0</v>
      </c>
      <c r="R95" s="20">
        <v>6.0331661815360826</v>
      </c>
      <c r="S95" s="20">
        <v>0</v>
      </c>
      <c r="T95" s="20">
        <v>0</v>
      </c>
      <c r="U95" s="20">
        <v>4.4744677015581171</v>
      </c>
      <c r="V95" s="20">
        <v>0</v>
      </c>
      <c r="W95" s="20">
        <v>0</v>
      </c>
      <c r="X95" s="20">
        <v>0</v>
      </c>
      <c r="Y95" s="20">
        <v>69.991035793710651</v>
      </c>
      <c r="Z95" s="20">
        <v>0</v>
      </c>
      <c r="AA95" s="20">
        <v>0</v>
      </c>
      <c r="AB95" s="55"/>
      <c r="AC95" s="20">
        <v>0</v>
      </c>
      <c r="AD95" s="20">
        <v>0</v>
      </c>
      <c r="AE95" s="20">
        <v>0</v>
      </c>
      <c r="AF95" s="20">
        <v>0</v>
      </c>
      <c r="AG95" s="20">
        <v>0</v>
      </c>
      <c r="AH95" s="20">
        <v>6.0216625112335258</v>
      </c>
      <c r="AI95" s="20">
        <v>0</v>
      </c>
      <c r="AJ95" s="20">
        <v>6.1696148279253444</v>
      </c>
      <c r="AK95" s="20">
        <v>0</v>
      </c>
      <c r="AL95" s="20">
        <v>0</v>
      </c>
      <c r="AM95" s="20">
        <v>0</v>
      </c>
      <c r="AN95" s="20">
        <v>0</v>
      </c>
      <c r="AO95" s="20">
        <v>0</v>
      </c>
      <c r="AP95" s="20">
        <v>0</v>
      </c>
      <c r="AQ95" s="20">
        <v>0</v>
      </c>
      <c r="AR95" s="20">
        <v>0</v>
      </c>
      <c r="AS95" s="55"/>
      <c r="AT95"/>
      <c r="AU95" s="20">
        <v>0</v>
      </c>
      <c r="AV95" s="20"/>
      <c r="AW95" s="11">
        <f t="shared" si="393"/>
        <v>5.5705570557055708</v>
      </c>
      <c r="AX95" s="11">
        <f t="shared" si="394"/>
        <v>0</v>
      </c>
      <c r="AY95" s="11">
        <f t="shared" si="395"/>
        <v>0</v>
      </c>
      <c r="AZ95" s="11">
        <f t="shared" si="396"/>
        <v>0</v>
      </c>
      <c r="BA95" s="11">
        <f t="shared" si="397"/>
        <v>0</v>
      </c>
      <c r="BB95" s="11">
        <f t="shared" si="398"/>
        <v>0</v>
      </c>
      <c r="BC95" s="11">
        <f t="shared" si="399"/>
        <v>0</v>
      </c>
      <c r="BD95" s="11">
        <f t="shared" si="400"/>
        <v>0</v>
      </c>
      <c r="BE95" s="11">
        <f t="shared" si="401"/>
        <v>0</v>
      </c>
      <c r="BF95" s="11">
        <f t="shared" si="402"/>
        <v>0</v>
      </c>
      <c r="BG95" s="11">
        <f t="shared" si="403"/>
        <v>6.56065606560656</v>
      </c>
      <c r="BH95" s="11">
        <f t="shared" si="404"/>
        <v>0</v>
      </c>
      <c r="BI95" s="11">
        <f t="shared" si="405"/>
        <v>0</v>
      </c>
      <c r="BJ95" s="56">
        <f t="shared" si="406"/>
        <v>3.7603760376037605</v>
      </c>
      <c r="BK95" s="11">
        <f t="shared" si="407"/>
        <v>0</v>
      </c>
      <c r="BL95" s="34">
        <f t="shared" si="408"/>
        <v>0</v>
      </c>
      <c r="BM95" s="11">
        <f t="shared" si="409"/>
        <v>0</v>
      </c>
      <c r="BN95" s="11">
        <f t="shared" si="410"/>
        <v>0</v>
      </c>
      <c r="BO95" s="11">
        <f t="shared" si="411"/>
        <v>30.383038303830379</v>
      </c>
      <c r="BP95" s="11">
        <f t="shared" si="412"/>
        <v>0</v>
      </c>
      <c r="BQ95" s="54"/>
      <c r="BR95" s="56">
        <f t="shared" si="413"/>
        <v>0</v>
      </c>
      <c r="BS95" s="56">
        <f t="shared" si="414"/>
        <v>0</v>
      </c>
      <c r="BT95" s="56">
        <f t="shared" si="415"/>
        <v>0</v>
      </c>
      <c r="BU95" s="56">
        <f t="shared" si="416"/>
        <v>0</v>
      </c>
      <c r="BV95" s="56">
        <f t="shared" si="417"/>
        <v>0</v>
      </c>
      <c r="BW95" s="56">
        <f t="shared" si="418"/>
        <v>33.853385338533847</v>
      </c>
      <c r="BX95" s="56">
        <f t="shared" si="419"/>
        <v>0</v>
      </c>
      <c r="BY95" s="56">
        <f t="shared" si="420"/>
        <v>19.871987198719875</v>
      </c>
      <c r="BZ95" s="56">
        <f t="shared" si="421"/>
        <v>0</v>
      </c>
      <c r="CA95" s="56">
        <f t="shared" si="422"/>
        <v>0</v>
      </c>
      <c r="CB95" s="56">
        <f t="shared" si="423"/>
        <v>0</v>
      </c>
      <c r="CC95" s="56">
        <f t="shared" si="424"/>
        <v>0</v>
      </c>
      <c r="CD95" s="56">
        <f t="shared" si="425"/>
        <v>0</v>
      </c>
      <c r="CE95" s="56">
        <f t="shared" si="426"/>
        <v>0</v>
      </c>
      <c r="CF95" s="56">
        <f t="shared" si="427"/>
        <v>0</v>
      </c>
      <c r="CG95" s="56">
        <f t="shared" si="428"/>
        <v>0</v>
      </c>
      <c r="CH95" s="54"/>
      <c r="CI95" s="11"/>
      <c r="CJ95" s="12" t="e">
        <f t="shared" ca="1" si="429"/>
        <v>#NAME?</v>
      </c>
      <c r="CK95" s="16"/>
      <c r="CL95" s="60">
        <f t="shared" si="430"/>
        <v>13.03796102790489</v>
      </c>
      <c r="CM95" s="60">
        <f t="shared" si="431"/>
        <v>0</v>
      </c>
      <c r="CN95" s="60">
        <f t="shared" si="432"/>
        <v>0</v>
      </c>
      <c r="CO95" s="60">
        <f t="shared" si="433"/>
        <v>0</v>
      </c>
      <c r="CP95" s="60">
        <f t="shared" si="434"/>
        <v>0</v>
      </c>
      <c r="CQ95" s="60">
        <f t="shared" si="435"/>
        <v>0</v>
      </c>
      <c r="CR95" s="60">
        <f t="shared" si="436"/>
        <v>0</v>
      </c>
      <c r="CS95" s="60">
        <f t="shared" si="437"/>
        <v>0</v>
      </c>
      <c r="CT95" s="60">
        <f t="shared" si="438"/>
        <v>0</v>
      </c>
      <c r="CU95" s="60">
        <f t="shared" si="439"/>
        <v>0</v>
      </c>
      <c r="CV95" s="60">
        <f t="shared" si="440"/>
        <v>0</v>
      </c>
      <c r="CW95" s="60">
        <f t="shared" si="441"/>
        <v>10.042928621957349</v>
      </c>
      <c r="CX95" s="60">
        <f t="shared" si="442"/>
        <v>0</v>
      </c>
      <c r="CY95" s="60">
        <f t="shared" si="443"/>
        <v>0</v>
      </c>
      <c r="CZ95" s="60">
        <f t="shared" si="444"/>
        <v>9.4264137696390566</v>
      </c>
      <c r="DA95" s="60">
        <f t="shared" si="445"/>
        <v>0</v>
      </c>
      <c r="DB95" s="60">
        <f t="shared" si="446"/>
        <v>0</v>
      </c>
      <c r="DC95" s="60">
        <f t="shared" si="447"/>
        <v>0</v>
      </c>
      <c r="DD95" s="60">
        <f t="shared" si="448"/>
        <v>0</v>
      </c>
      <c r="DE95" s="60">
        <f t="shared" si="449"/>
        <v>0</v>
      </c>
      <c r="DF95" s="55"/>
      <c r="DG95" s="60">
        <f t="shared" si="450"/>
        <v>0</v>
      </c>
      <c r="DH95" s="60">
        <f t="shared" si="451"/>
        <v>0</v>
      </c>
      <c r="DI95" s="60">
        <f t="shared" si="452"/>
        <v>0</v>
      </c>
      <c r="DJ95" s="60">
        <f t="shared" si="453"/>
        <v>0</v>
      </c>
      <c r="DK95" s="60">
        <f t="shared" si="454"/>
        <v>0</v>
      </c>
      <c r="DL95" s="60">
        <f t="shared" si="455"/>
        <v>39.895185345939886</v>
      </c>
      <c r="DM95" s="60">
        <f t="shared" si="456"/>
        <v>0</v>
      </c>
      <c r="DN95" s="60">
        <f t="shared" si="457"/>
        <v>27.597511234558823</v>
      </c>
      <c r="DO95" s="60">
        <f t="shared" si="458"/>
        <v>0</v>
      </c>
      <c r="DP95" s="60">
        <f t="shared" si="459"/>
        <v>0</v>
      </c>
      <c r="DQ95" s="60">
        <f t="shared" si="460"/>
        <v>0</v>
      </c>
      <c r="DR95" s="60">
        <f t="shared" si="461"/>
        <v>0</v>
      </c>
      <c r="DS95" s="60">
        <f t="shared" si="462"/>
        <v>0</v>
      </c>
      <c r="DT95" s="60">
        <f t="shared" si="463"/>
        <v>0</v>
      </c>
      <c r="DU95" s="60">
        <f t="shared" si="464"/>
        <v>0</v>
      </c>
      <c r="DV95" s="60">
        <f t="shared" si="465"/>
        <v>0</v>
      </c>
      <c r="DW95" s="60"/>
      <c r="DX95" s="60" t="e">
        <f t="shared" ca="1" si="466"/>
        <v>#NAME?</v>
      </c>
    </row>
    <row r="96" spans="1:128" s="19" customFormat="1" ht="16" customHeight="1">
      <c r="A96" s="18"/>
      <c r="B96" s="17" t="s">
        <v>456</v>
      </c>
      <c r="C96" s="109" t="s">
        <v>461</v>
      </c>
      <c r="D96" s="16"/>
      <c r="E96" s="16"/>
      <c r="F96" s="16"/>
      <c r="G96" s="16"/>
      <c r="H96" s="20">
        <v>18.803074649406035</v>
      </c>
      <c r="I96" s="20">
        <v>0</v>
      </c>
      <c r="J96" s="20">
        <v>3.6098368761217028</v>
      </c>
      <c r="K96" s="20">
        <v>0</v>
      </c>
      <c r="L96" s="20">
        <v>0</v>
      </c>
      <c r="M96" s="20"/>
      <c r="N96" s="20">
        <v>0</v>
      </c>
      <c r="O96" s="20">
        <v>0</v>
      </c>
      <c r="P96" s="20">
        <v>0</v>
      </c>
      <c r="Q96" s="20">
        <v>0</v>
      </c>
      <c r="R96" s="20">
        <v>5.4645166324024341</v>
      </c>
      <c r="S96" s="20">
        <v>0</v>
      </c>
      <c r="T96" s="20">
        <v>0</v>
      </c>
      <c r="U96" s="20">
        <v>3.671686597911243</v>
      </c>
      <c r="V96" s="20">
        <v>0</v>
      </c>
      <c r="W96" s="20">
        <v>0</v>
      </c>
      <c r="X96" s="20">
        <v>0</v>
      </c>
      <c r="Y96" s="20">
        <v>64.467499075882827</v>
      </c>
      <c r="Z96" s="20">
        <v>0</v>
      </c>
      <c r="AA96" s="20">
        <v>0</v>
      </c>
      <c r="AB96" s="55"/>
      <c r="AC96" s="20">
        <v>0</v>
      </c>
      <c r="AD96" s="20">
        <v>0</v>
      </c>
      <c r="AE96" s="20">
        <v>0</v>
      </c>
      <c r="AF96" s="20">
        <v>0</v>
      </c>
      <c r="AG96" s="20">
        <v>0</v>
      </c>
      <c r="AH96" s="20">
        <v>3.9833861682757581</v>
      </c>
      <c r="AI96" s="20">
        <v>0</v>
      </c>
      <c r="AJ96" s="20">
        <v>0</v>
      </c>
      <c r="AK96" s="20">
        <v>0</v>
      </c>
      <c r="AL96" s="20">
        <v>0</v>
      </c>
      <c r="AM96" s="20">
        <v>0</v>
      </c>
      <c r="AN96" s="20">
        <v>0</v>
      </c>
      <c r="AO96" s="20">
        <v>0</v>
      </c>
      <c r="AP96" s="20">
        <v>0</v>
      </c>
      <c r="AQ96" s="20">
        <v>0</v>
      </c>
      <c r="AR96" s="20">
        <v>0</v>
      </c>
      <c r="AS96" s="55"/>
      <c r="AT96"/>
      <c r="AU96" s="20">
        <v>0</v>
      </c>
      <c r="AV96" s="20"/>
      <c r="AW96" s="11">
        <f t="shared" si="393"/>
        <v>18.760000000000002</v>
      </c>
      <c r="AX96" s="11">
        <f t="shared" si="394"/>
        <v>0</v>
      </c>
      <c r="AY96" s="11">
        <f t="shared" si="395"/>
        <v>3.4599999999999991</v>
      </c>
      <c r="AZ96" s="11">
        <f t="shared" si="396"/>
        <v>0</v>
      </c>
      <c r="BA96" s="11">
        <f t="shared" si="397"/>
        <v>0</v>
      </c>
      <c r="BB96" s="11">
        <f t="shared" si="398"/>
        <v>0</v>
      </c>
      <c r="BC96" s="11">
        <f t="shared" si="399"/>
        <v>0</v>
      </c>
      <c r="BD96" s="11">
        <f t="shared" si="400"/>
        <v>0</v>
      </c>
      <c r="BE96" s="11">
        <f t="shared" si="401"/>
        <v>0</v>
      </c>
      <c r="BF96" s="11">
        <f t="shared" si="402"/>
        <v>0</v>
      </c>
      <c r="BG96" s="11">
        <f t="shared" si="403"/>
        <v>7.7799999999999985</v>
      </c>
      <c r="BH96" s="11">
        <f t="shared" si="404"/>
        <v>0</v>
      </c>
      <c r="BI96" s="11">
        <f t="shared" si="405"/>
        <v>0</v>
      </c>
      <c r="BJ96" s="56">
        <f t="shared" si="406"/>
        <v>4.0399999999999991</v>
      </c>
      <c r="BK96" s="11">
        <f t="shared" si="407"/>
        <v>0</v>
      </c>
      <c r="BL96" s="34">
        <f t="shared" si="408"/>
        <v>0</v>
      </c>
      <c r="BM96" s="11">
        <f t="shared" si="409"/>
        <v>0</v>
      </c>
      <c r="BN96" s="11">
        <f t="shared" si="410"/>
        <v>0</v>
      </c>
      <c r="BO96" s="11">
        <f t="shared" si="411"/>
        <v>36.639999999999993</v>
      </c>
      <c r="BP96" s="11">
        <f t="shared" si="412"/>
        <v>0</v>
      </c>
      <c r="BQ96" s="54"/>
      <c r="BR96" s="56">
        <f t="shared" si="413"/>
        <v>0</v>
      </c>
      <c r="BS96" s="56">
        <f t="shared" si="414"/>
        <v>0</v>
      </c>
      <c r="BT96" s="56">
        <f t="shared" si="415"/>
        <v>0</v>
      </c>
      <c r="BU96" s="56">
        <f t="shared" si="416"/>
        <v>0</v>
      </c>
      <c r="BV96" s="56">
        <f t="shared" si="417"/>
        <v>0</v>
      </c>
      <c r="BW96" s="56">
        <f t="shared" si="418"/>
        <v>29.319999999999993</v>
      </c>
      <c r="BX96" s="56">
        <f t="shared" si="419"/>
        <v>0</v>
      </c>
      <c r="BY96" s="56">
        <f t="shared" si="420"/>
        <v>0</v>
      </c>
      <c r="BZ96" s="56">
        <f t="shared" si="421"/>
        <v>0</v>
      </c>
      <c r="CA96" s="56">
        <f t="shared" si="422"/>
        <v>0</v>
      </c>
      <c r="CB96" s="56">
        <f t="shared" si="423"/>
        <v>0</v>
      </c>
      <c r="CC96" s="56">
        <f t="shared" si="424"/>
        <v>0</v>
      </c>
      <c r="CD96" s="56">
        <f t="shared" si="425"/>
        <v>0</v>
      </c>
      <c r="CE96" s="56">
        <f t="shared" si="426"/>
        <v>0</v>
      </c>
      <c r="CF96" s="56">
        <f t="shared" si="427"/>
        <v>0</v>
      </c>
      <c r="CG96" s="56">
        <f t="shared" si="428"/>
        <v>0</v>
      </c>
      <c r="CH96" s="54"/>
      <c r="CI96" s="11"/>
      <c r="CJ96" s="12" t="e">
        <f t="shared" ca="1" si="429"/>
        <v>#NAME?</v>
      </c>
      <c r="CK96" s="16"/>
      <c r="CL96" s="60">
        <f t="shared" si="430"/>
        <v>40.787785411072761</v>
      </c>
      <c r="CM96" s="60">
        <f t="shared" si="431"/>
        <v>0</v>
      </c>
      <c r="CN96" s="60">
        <f t="shared" si="432"/>
        <v>6.6440682621217437</v>
      </c>
      <c r="CO96" s="60">
        <f t="shared" si="433"/>
        <v>0</v>
      </c>
      <c r="CP96" s="60">
        <f t="shared" si="434"/>
        <v>0</v>
      </c>
      <c r="CQ96" s="60">
        <f t="shared" si="435"/>
        <v>0</v>
      </c>
      <c r="CR96" s="60">
        <f t="shared" si="436"/>
        <v>0</v>
      </c>
      <c r="CS96" s="60">
        <f t="shared" si="437"/>
        <v>0</v>
      </c>
      <c r="CT96" s="60">
        <f t="shared" si="438"/>
        <v>0</v>
      </c>
      <c r="CU96" s="60">
        <f t="shared" si="439"/>
        <v>0</v>
      </c>
      <c r="CV96" s="60">
        <f t="shared" si="440"/>
        <v>0</v>
      </c>
      <c r="CW96" s="60">
        <f t="shared" si="441"/>
        <v>11.063153596570716</v>
      </c>
      <c r="CX96" s="60">
        <f t="shared" si="442"/>
        <v>0</v>
      </c>
      <c r="CY96" s="60">
        <f t="shared" si="443"/>
        <v>0</v>
      </c>
      <c r="CZ96" s="60">
        <f t="shared" si="444"/>
        <v>9.4076863046061767</v>
      </c>
      <c r="DA96" s="60">
        <f t="shared" si="445"/>
        <v>0</v>
      </c>
      <c r="DB96" s="60">
        <f t="shared" si="446"/>
        <v>0</v>
      </c>
      <c r="DC96" s="60">
        <f t="shared" si="447"/>
        <v>0</v>
      </c>
      <c r="DD96" s="60">
        <f t="shared" si="448"/>
        <v>0</v>
      </c>
      <c r="DE96" s="60">
        <f t="shared" si="449"/>
        <v>0</v>
      </c>
      <c r="DF96" s="55"/>
      <c r="DG96" s="60">
        <f t="shared" si="450"/>
        <v>0</v>
      </c>
      <c r="DH96" s="60">
        <f t="shared" si="451"/>
        <v>0</v>
      </c>
      <c r="DI96" s="60">
        <f t="shared" si="452"/>
        <v>0</v>
      </c>
      <c r="DJ96" s="60">
        <f t="shared" si="453"/>
        <v>0</v>
      </c>
      <c r="DK96" s="60">
        <f t="shared" si="454"/>
        <v>0</v>
      </c>
      <c r="DL96" s="60">
        <f t="shared" si="455"/>
        <v>32.097306425628609</v>
      </c>
      <c r="DM96" s="60">
        <f t="shared" si="456"/>
        <v>0</v>
      </c>
      <c r="DN96" s="60">
        <f t="shared" si="457"/>
        <v>0</v>
      </c>
      <c r="DO96" s="60">
        <f t="shared" si="458"/>
        <v>0</v>
      </c>
      <c r="DP96" s="60">
        <f t="shared" si="459"/>
        <v>0</v>
      </c>
      <c r="DQ96" s="60">
        <f t="shared" si="460"/>
        <v>0</v>
      </c>
      <c r="DR96" s="60">
        <f t="shared" si="461"/>
        <v>0</v>
      </c>
      <c r="DS96" s="60">
        <f t="shared" si="462"/>
        <v>0</v>
      </c>
      <c r="DT96" s="60">
        <f t="shared" si="463"/>
        <v>0</v>
      </c>
      <c r="DU96" s="60">
        <f t="shared" si="464"/>
        <v>0</v>
      </c>
      <c r="DV96" s="60">
        <f t="shared" si="465"/>
        <v>0</v>
      </c>
      <c r="DW96" s="60"/>
      <c r="DX96" s="60" t="e">
        <f t="shared" ca="1" si="466"/>
        <v>#NAME?</v>
      </c>
    </row>
    <row r="97" spans="1:128" s="19" customFormat="1" ht="16" customHeight="1">
      <c r="A97" s="18"/>
      <c r="B97" s="17" t="s">
        <v>457</v>
      </c>
      <c r="C97" s="109" t="s">
        <v>461</v>
      </c>
      <c r="D97" s="16"/>
      <c r="E97" s="16"/>
      <c r="F97" s="16"/>
      <c r="G97" s="16"/>
      <c r="H97" s="20">
        <v>3.3639048026884151</v>
      </c>
      <c r="I97" s="20">
        <v>0</v>
      </c>
      <c r="J97" s="20">
        <v>0</v>
      </c>
      <c r="K97" s="20">
        <v>0</v>
      </c>
      <c r="L97" s="20">
        <v>0</v>
      </c>
      <c r="M97" s="20"/>
      <c r="N97" s="20">
        <v>0</v>
      </c>
      <c r="O97" s="20">
        <v>0</v>
      </c>
      <c r="P97" s="20">
        <v>0</v>
      </c>
      <c r="Q97" s="20">
        <v>0</v>
      </c>
      <c r="R97" s="20">
        <v>12.546217723466661</v>
      </c>
      <c r="S97" s="20">
        <v>0</v>
      </c>
      <c r="T97" s="20">
        <v>0</v>
      </c>
      <c r="U97" s="20">
        <v>8.1791222967882682</v>
      </c>
      <c r="V97" s="20">
        <v>0</v>
      </c>
      <c r="W97" s="20">
        <v>0</v>
      </c>
      <c r="X97" s="20">
        <v>0</v>
      </c>
      <c r="Y97" s="20">
        <v>68.412584674207025</v>
      </c>
      <c r="Z97" s="20">
        <v>0</v>
      </c>
      <c r="AA97" s="20">
        <v>0</v>
      </c>
      <c r="AB97" s="55"/>
      <c r="AC97" s="20">
        <v>0</v>
      </c>
      <c r="AD97" s="20">
        <v>0</v>
      </c>
      <c r="AE97" s="20">
        <v>0</v>
      </c>
      <c r="AF97" s="20">
        <v>0</v>
      </c>
      <c r="AG97" s="20">
        <v>0</v>
      </c>
      <c r="AH97" s="20">
        <v>7.498170502849641</v>
      </c>
      <c r="AI97" s="20">
        <v>0</v>
      </c>
      <c r="AJ97" s="20">
        <v>0</v>
      </c>
      <c r="AK97" s="20">
        <v>0</v>
      </c>
      <c r="AL97" s="20">
        <v>0</v>
      </c>
      <c r="AM97" s="20">
        <v>0</v>
      </c>
      <c r="AN97" s="20">
        <v>0</v>
      </c>
      <c r="AO97" s="20">
        <v>0</v>
      </c>
      <c r="AP97" s="20">
        <v>0</v>
      </c>
      <c r="AQ97" s="20">
        <v>0</v>
      </c>
      <c r="AR97" s="20">
        <v>0</v>
      </c>
      <c r="AS97" s="55"/>
      <c r="AT97"/>
      <c r="AU97" s="20">
        <v>0</v>
      </c>
      <c r="AV97" s="20"/>
      <c r="AW97" s="11">
        <f t="shared" si="393"/>
        <v>2.7002700270027007</v>
      </c>
      <c r="AX97" s="11">
        <f t="shared" si="394"/>
        <v>0</v>
      </c>
      <c r="AY97" s="11">
        <f t="shared" si="395"/>
        <v>0</v>
      </c>
      <c r="AZ97" s="11">
        <f t="shared" si="396"/>
        <v>0</v>
      </c>
      <c r="BA97" s="11">
        <f t="shared" si="397"/>
        <v>0</v>
      </c>
      <c r="BB97" s="11">
        <f t="shared" si="398"/>
        <v>0</v>
      </c>
      <c r="BC97" s="11">
        <f t="shared" si="399"/>
        <v>0</v>
      </c>
      <c r="BD97" s="11">
        <f t="shared" si="400"/>
        <v>0</v>
      </c>
      <c r="BE97" s="11">
        <f t="shared" si="401"/>
        <v>0</v>
      </c>
      <c r="BF97" s="11">
        <f t="shared" si="402"/>
        <v>0</v>
      </c>
      <c r="BG97" s="11">
        <f t="shared" si="403"/>
        <v>14.371437143714374</v>
      </c>
      <c r="BH97" s="11">
        <f t="shared" si="404"/>
        <v>0</v>
      </c>
      <c r="BI97" s="11">
        <f t="shared" si="405"/>
        <v>0</v>
      </c>
      <c r="BJ97" s="56">
        <f t="shared" si="406"/>
        <v>7.2407240724072413</v>
      </c>
      <c r="BK97" s="11">
        <f t="shared" si="407"/>
        <v>0</v>
      </c>
      <c r="BL97" s="34">
        <f t="shared" si="408"/>
        <v>0</v>
      </c>
      <c r="BM97" s="11">
        <f t="shared" si="409"/>
        <v>0</v>
      </c>
      <c r="BN97" s="11">
        <f t="shared" si="410"/>
        <v>0</v>
      </c>
      <c r="BO97" s="11">
        <f t="shared" si="411"/>
        <v>31.283128312831288</v>
      </c>
      <c r="BP97" s="11">
        <f t="shared" si="412"/>
        <v>0</v>
      </c>
      <c r="BQ97" s="54"/>
      <c r="BR97" s="56">
        <f t="shared" si="413"/>
        <v>0</v>
      </c>
      <c r="BS97" s="56">
        <f t="shared" si="414"/>
        <v>0</v>
      </c>
      <c r="BT97" s="56">
        <f t="shared" si="415"/>
        <v>0</v>
      </c>
      <c r="BU97" s="56">
        <f t="shared" si="416"/>
        <v>0</v>
      </c>
      <c r="BV97" s="56">
        <f t="shared" si="417"/>
        <v>0</v>
      </c>
      <c r="BW97" s="56">
        <f t="shared" si="418"/>
        <v>44.404440444044404</v>
      </c>
      <c r="BX97" s="56">
        <f t="shared" si="419"/>
        <v>0</v>
      </c>
      <c r="BY97" s="56">
        <f t="shared" si="420"/>
        <v>0</v>
      </c>
      <c r="BZ97" s="56">
        <f t="shared" si="421"/>
        <v>0</v>
      </c>
      <c r="CA97" s="56">
        <f t="shared" si="422"/>
        <v>0</v>
      </c>
      <c r="CB97" s="56">
        <f t="shared" si="423"/>
        <v>0</v>
      </c>
      <c r="CC97" s="56">
        <f t="shared" si="424"/>
        <v>0</v>
      </c>
      <c r="CD97" s="56">
        <f t="shared" si="425"/>
        <v>0</v>
      </c>
      <c r="CE97" s="56">
        <f t="shared" si="426"/>
        <v>0</v>
      </c>
      <c r="CF97" s="56">
        <f t="shared" si="427"/>
        <v>0</v>
      </c>
      <c r="CG97" s="56">
        <f t="shared" si="428"/>
        <v>0</v>
      </c>
      <c r="CH97" s="54"/>
      <c r="CI97" s="11"/>
      <c r="CJ97" s="12" t="e">
        <f t="shared" ca="1" si="429"/>
        <v>#NAME?</v>
      </c>
      <c r="CK97" s="16"/>
      <c r="CL97" s="60">
        <f t="shared" si="430"/>
        <v>6.3967987106499979</v>
      </c>
      <c r="CM97" s="60">
        <f t="shared" si="431"/>
        <v>0</v>
      </c>
      <c r="CN97" s="60">
        <f t="shared" si="432"/>
        <v>0</v>
      </c>
      <c r="CO97" s="60">
        <f t="shared" si="433"/>
        <v>0</v>
      </c>
      <c r="CP97" s="60">
        <f t="shared" si="434"/>
        <v>0</v>
      </c>
      <c r="CQ97" s="60">
        <f t="shared" si="435"/>
        <v>0</v>
      </c>
      <c r="CR97" s="60">
        <f t="shared" si="436"/>
        <v>0</v>
      </c>
      <c r="CS97" s="60">
        <f t="shared" si="437"/>
        <v>0</v>
      </c>
      <c r="CT97" s="60">
        <f t="shared" si="438"/>
        <v>0</v>
      </c>
      <c r="CU97" s="60">
        <f t="shared" si="439"/>
        <v>0</v>
      </c>
      <c r="CV97" s="60">
        <f t="shared" si="440"/>
        <v>0</v>
      </c>
      <c r="CW97" s="60">
        <f t="shared" si="441"/>
        <v>22.266796608912138</v>
      </c>
      <c r="CX97" s="60">
        <f t="shared" si="442"/>
        <v>0</v>
      </c>
      <c r="CY97" s="60">
        <f t="shared" si="443"/>
        <v>0</v>
      </c>
      <c r="CZ97" s="60">
        <f t="shared" si="444"/>
        <v>18.37137481166446</v>
      </c>
      <c r="DA97" s="60">
        <f t="shared" si="445"/>
        <v>0</v>
      </c>
      <c r="DB97" s="60">
        <f t="shared" si="446"/>
        <v>0</v>
      </c>
      <c r="DC97" s="60">
        <f t="shared" si="447"/>
        <v>0</v>
      </c>
      <c r="DD97" s="60">
        <f t="shared" si="448"/>
        <v>0</v>
      </c>
      <c r="DE97" s="60">
        <f t="shared" si="449"/>
        <v>0</v>
      </c>
      <c r="DF97" s="55"/>
      <c r="DG97" s="60">
        <f t="shared" si="450"/>
        <v>0</v>
      </c>
      <c r="DH97" s="60">
        <f t="shared" si="451"/>
        <v>0</v>
      </c>
      <c r="DI97" s="60">
        <f t="shared" si="452"/>
        <v>0</v>
      </c>
      <c r="DJ97" s="60">
        <f t="shared" si="453"/>
        <v>0</v>
      </c>
      <c r="DK97" s="60">
        <f t="shared" si="454"/>
        <v>0</v>
      </c>
      <c r="DL97" s="60">
        <f t="shared" si="455"/>
        <v>52.965029868773414</v>
      </c>
      <c r="DM97" s="60">
        <f t="shared" si="456"/>
        <v>0</v>
      </c>
      <c r="DN97" s="60">
        <f t="shared" si="457"/>
        <v>0</v>
      </c>
      <c r="DO97" s="60">
        <f t="shared" si="458"/>
        <v>0</v>
      </c>
      <c r="DP97" s="60">
        <f t="shared" si="459"/>
        <v>0</v>
      </c>
      <c r="DQ97" s="60">
        <f t="shared" si="460"/>
        <v>0</v>
      </c>
      <c r="DR97" s="60">
        <f t="shared" si="461"/>
        <v>0</v>
      </c>
      <c r="DS97" s="60">
        <f t="shared" si="462"/>
        <v>0</v>
      </c>
      <c r="DT97" s="60">
        <f t="shared" si="463"/>
        <v>0</v>
      </c>
      <c r="DU97" s="60">
        <f t="shared" si="464"/>
        <v>0</v>
      </c>
      <c r="DV97" s="60">
        <f t="shared" si="465"/>
        <v>0</v>
      </c>
      <c r="DW97" s="60"/>
      <c r="DX97" s="60" t="e">
        <f t="shared" ca="1" si="466"/>
        <v>#NAME?</v>
      </c>
    </row>
    <row r="98" spans="1:128" s="19" customFormat="1" ht="16" customHeight="1">
      <c r="A98" s="18"/>
      <c r="B98" s="17" t="s">
        <v>458</v>
      </c>
      <c r="C98" s="109" t="s">
        <v>461</v>
      </c>
      <c r="D98" s="16"/>
      <c r="E98" s="16"/>
      <c r="F98" s="16"/>
      <c r="G98" s="16"/>
      <c r="H98" s="20">
        <v>0</v>
      </c>
      <c r="I98" s="20">
        <v>0</v>
      </c>
      <c r="J98" s="20">
        <v>0</v>
      </c>
      <c r="K98" s="20">
        <v>0</v>
      </c>
      <c r="L98" s="20">
        <v>0</v>
      </c>
      <c r="M98" s="20"/>
      <c r="N98" s="20">
        <v>0</v>
      </c>
      <c r="O98" s="20">
        <v>0</v>
      </c>
      <c r="P98" s="20">
        <v>0</v>
      </c>
      <c r="Q98" s="20">
        <v>0</v>
      </c>
      <c r="R98" s="20">
        <v>0</v>
      </c>
      <c r="S98" s="20">
        <v>0</v>
      </c>
      <c r="T98" s="20">
        <v>0</v>
      </c>
      <c r="U98" s="20">
        <v>0</v>
      </c>
      <c r="V98" s="20">
        <v>0</v>
      </c>
      <c r="W98" s="20">
        <v>0</v>
      </c>
      <c r="X98" s="20">
        <v>0</v>
      </c>
      <c r="Y98" s="20">
        <v>0</v>
      </c>
      <c r="Z98" s="20">
        <v>0</v>
      </c>
      <c r="AA98" s="20">
        <v>0</v>
      </c>
      <c r="AB98" s="55"/>
      <c r="AC98" s="20">
        <v>0</v>
      </c>
      <c r="AD98" s="20">
        <v>0</v>
      </c>
      <c r="AE98" s="20">
        <v>0</v>
      </c>
      <c r="AF98" s="20">
        <v>0</v>
      </c>
      <c r="AG98" s="20">
        <v>0</v>
      </c>
      <c r="AH98" s="20">
        <v>100</v>
      </c>
      <c r="AI98" s="20">
        <v>0</v>
      </c>
      <c r="AJ98" s="20">
        <v>0</v>
      </c>
      <c r="AK98" s="20">
        <v>0</v>
      </c>
      <c r="AL98" s="20">
        <v>0</v>
      </c>
      <c r="AM98" s="20">
        <v>0</v>
      </c>
      <c r="AN98" s="20">
        <v>0</v>
      </c>
      <c r="AO98" s="20">
        <v>0</v>
      </c>
      <c r="AP98" s="20">
        <v>0</v>
      </c>
      <c r="AQ98" s="20">
        <v>0</v>
      </c>
      <c r="AR98" s="20">
        <v>0</v>
      </c>
      <c r="AS98" s="55"/>
      <c r="AT98"/>
      <c r="AU98" s="20">
        <v>0</v>
      </c>
      <c r="AV98" s="20"/>
      <c r="AW98" s="11">
        <f t="shared" si="393"/>
        <v>0</v>
      </c>
      <c r="AX98" s="11">
        <f t="shared" si="394"/>
        <v>0</v>
      </c>
      <c r="AY98" s="11">
        <f t="shared" si="395"/>
        <v>0</v>
      </c>
      <c r="AZ98" s="11">
        <f t="shared" si="396"/>
        <v>0</v>
      </c>
      <c r="BA98" s="11">
        <f t="shared" si="397"/>
        <v>0</v>
      </c>
      <c r="BB98" s="11">
        <f t="shared" si="398"/>
        <v>0</v>
      </c>
      <c r="BC98" s="11">
        <f t="shared" si="399"/>
        <v>0</v>
      </c>
      <c r="BD98" s="11">
        <f t="shared" si="400"/>
        <v>0</v>
      </c>
      <c r="BE98" s="11">
        <f t="shared" si="401"/>
        <v>0</v>
      </c>
      <c r="BF98" s="11">
        <f t="shared" si="402"/>
        <v>0</v>
      </c>
      <c r="BG98" s="11">
        <f t="shared" si="403"/>
        <v>0</v>
      </c>
      <c r="BH98" s="11">
        <f t="shared" si="404"/>
        <v>0</v>
      </c>
      <c r="BI98" s="11">
        <f t="shared" si="405"/>
        <v>0</v>
      </c>
      <c r="BJ98" s="56">
        <f t="shared" si="406"/>
        <v>0</v>
      </c>
      <c r="BK98" s="11">
        <f t="shared" si="407"/>
        <v>0</v>
      </c>
      <c r="BL98" s="34">
        <f t="shared" si="408"/>
        <v>0</v>
      </c>
      <c r="BM98" s="11">
        <f t="shared" si="409"/>
        <v>0</v>
      </c>
      <c r="BN98" s="11">
        <f t="shared" si="410"/>
        <v>0</v>
      </c>
      <c r="BO98" s="11">
        <f t="shared" si="411"/>
        <v>0</v>
      </c>
      <c r="BP98" s="11">
        <f t="shared" si="412"/>
        <v>0</v>
      </c>
      <c r="BQ98" s="54"/>
      <c r="BR98" s="56">
        <f t="shared" si="413"/>
        <v>0</v>
      </c>
      <c r="BS98" s="56">
        <f t="shared" si="414"/>
        <v>0</v>
      </c>
      <c r="BT98" s="56">
        <f t="shared" si="415"/>
        <v>0</v>
      </c>
      <c r="BU98" s="56">
        <f t="shared" si="416"/>
        <v>0</v>
      </c>
      <c r="BV98" s="56">
        <f t="shared" si="417"/>
        <v>0</v>
      </c>
      <c r="BW98" s="56">
        <f t="shared" si="418"/>
        <v>100</v>
      </c>
      <c r="BX98" s="56">
        <f t="shared" si="419"/>
        <v>0</v>
      </c>
      <c r="BY98" s="56">
        <f t="shared" si="420"/>
        <v>0</v>
      </c>
      <c r="BZ98" s="56">
        <f t="shared" si="421"/>
        <v>0</v>
      </c>
      <c r="CA98" s="56">
        <f t="shared" si="422"/>
        <v>0</v>
      </c>
      <c r="CB98" s="56">
        <f t="shared" si="423"/>
        <v>0</v>
      </c>
      <c r="CC98" s="56">
        <f t="shared" si="424"/>
        <v>0</v>
      </c>
      <c r="CD98" s="56">
        <f t="shared" si="425"/>
        <v>0</v>
      </c>
      <c r="CE98" s="56">
        <f t="shared" si="426"/>
        <v>0</v>
      </c>
      <c r="CF98" s="56">
        <f t="shared" si="427"/>
        <v>0</v>
      </c>
      <c r="CG98" s="56">
        <f t="shared" si="428"/>
        <v>0</v>
      </c>
      <c r="CH98" s="54"/>
      <c r="CI98" s="11"/>
      <c r="CJ98" s="12" t="e">
        <f t="shared" ca="1" si="429"/>
        <v>#NAME?</v>
      </c>
      <c r="CK98" s="16"/>
      <c r="CL98" s="60">
        <f t="shared" si="430"/>
        <v>0</v>
      </c>
      <c r="CM98" s="60">
        <f t="shared" si="431"/>
        <v>0</v>
      </c>
      <c r="CN98" s="60">
        <f t="shared" si="432"/>
        <v>0</v>
      </c>
      <c r="CO98" s="60">
        <f t="shared" si="433"/>
        <v>0</v>
      </c>
      <c r="CP98" s="60">
        <f t="shared" si="434"/>
        <v>0</v>
      </c>
      <c r="CQ98" s="60">
        <f t="shared" si="435"/>
        <v>0</v>
      </c>
      <c r="CR98" s="60">
        <f t="shared" si="436"/>
        <v>0</v>
      </c>
      <c r="CS98" s="60">
        <f t="shared" si="437"/>
        <v>0</v>
      </c>
      <c r="CT98" s="60">
        <f t="shared" si="438"/>
        <v>0</v>
      </c>
      <c r="CU98" s="60">
        <f t="shared" si="439"/>
        <v>0</v>
      </c>
      <c r="CV98" s="60">
        <f t="shared" si="440"/>
        <v>0</v>
      </c>
      <c r="CW98" s="60">
        <f t="shared" si="441"/>
        <v>0</v>
      </c>
      <c r="CX98" s="60">
        <f t="shared" si="442"/>
        <v>0</v>
      </c>
      <c r="CY98" s="60">
        <f t="shared" si="443"/>
        <v>0</v>
      </c>
      <c r="CZ98" s="60">
        <f t="shared" si="444"/>
        <v>0</v>
      </c>
      <c r="DA98" s="60">
        <f t="shared" si="445"/>
        <v>0</v>
      </c>
      <c r="DB98" s="60">
        <f t="shared" si="446"/>
        <v>0</v>
      </c>
      <c r="DC98" s="60">
        <f t="shared" si="447"/>
        <v>0</v>
      </c>
      <c r="DD98" s="60">
        <f t="shared" si="448"/>
        <v>0</v>
      </c>
      <c r="DE98" s="60">
        <f t="shared" si="449"/>
        <v>0</v>
      </c>
      <c r="DF98" s="55"/>
      <c r="DG98" s="60">
        <f t="shared" si="450"/>
        <v>0</v>
      </c>
      <c r="DH98" s="60">
        <f t="shared" si="451"/>
        <v>0</v>
      </c>
      <c r="DI98" s="60">
        <f t="shared" si="452"/>
        <v>0</v>
      </c>
      <c r="DJ98" s="60">
        <f t="shared" si="453"/>
        <v>0</v>
      </c>
      <c r="DK98" s="60">
        <f t="shared" si="454"/>
        <v>0</v>
      </c>
      <c r="DL98" s="60">
        <f t="shared" si="455"/>
        <v>100</v>
      </c>
      <c r="DM98" s="60">
        <f t="shared" si="456"/>
        <v>0</v>
      </c>
      <c r="DN98" s="60">
        <f t="shared" si="457"/>
        <v>0</v>
      </c>
      <c r="DO98" s="60">
        <f t="shared" si="458"/>
        <v>0</v>
      </c>
      <c r="DP98" s="60">
        <f t="shared" si="459"/>
        <v>0</v>
      </c>
      <c r="DQ98" s="60">
        <f t="shared" si="460"/>
        <v>0</v>
      </c>
      <c r="DR98" s="60">
        <f t="shared" si="461"/>
        <v>0</v>
      </c>
      <c r="DS98" s="60">
        <f t="shared" si="462"/>
        <v>0</v>
      </c>
      <c r="DT98" s="60">
        <f t="shared" si="463"/>
        <v>0</v>
      </c>
      <c r="DU98" s="60">
        <f t="shared" si="464"/>
        <v>0</v>
      </c>
      <c r="DV98" s="60">
        <f t="shared" si="465"/>
        <v>0</v>
      </c>
      <c r="DW98" s="60"/>
      <c r="DX98" s="60" t="e">
        <f t="shared" ca="1" si="466"/>
        <v>#NAME?</v>
      </c>
    </row>
    <row r="99" spans="1:128" s="19" customFormat="1" ht="16" customHeight="1">
      <c r="A99" s="18"/>
      <c r="B99" s="17" t="s">
        <v>459</v>
      </c>
      <c r="C99" s="109" t="s">
        <v>461</v>
      </c>
      <c r="D99" s="16"/>
      <c r="E99" s="16"/>
      <c r="F99" s="16"/>
      <c r="G99" s="16"/>
      <c r="H99" s="20">
        <v>0</v>
      </c>
      <c r="I99" s="20">
        <v>0</v>
      </c>
      <c r="J99" s="20">
        <v>0</v>
      </c>
      <c r="K99" s="20">
        <v>0</v>
      </c>
      <c r="L99" s="20">
        <v>0</v>
      </c>
      <c r="M99" s="20"/>
      <c r="N99" s="20">
        <v>0</v>
      </c>
      <c r="O99" s="20">
        <v>0</v>
      </c>
      <c r="P99" s="20">
        <v>0</v>
      </c>
      <c r="Q99" s="20">
        <v>0</v>
      </c>
      <c r="R99" s="20">
        <v>26.659454244316766</v>
      </c>
      <c r="S99" s="20">
        <v>0</v>
      </c>
      <c r="T99" s="20">
        <v>0</v>
      </c>
      <c r="U99" s="20">
        <v>0</v>
      </c>
      <c r="V99" s="20">
        <v>0</v>
      </c>
      <c r="W99" s="20">
        <v>0</v>
      </c>
      <c r="X99" s="20">
        <v>0</v>
      </c>
      <c r="Y99" s="20">
        <v>73.340545755683237</v>
      </c>
      <c r="Z99" s="20">
        <v>0</v>
      </c>
      <c r="AA99" s="20">
        <v>0</v>
      </c>
      <c r="AB99" s="55"/>
      <c r="AC99" s="20">
        <v>0</v>
      </c>
      <c r="AD99" s="20">
        <v>0</v>
      </c>
      <c r="AE99" s="20">
        <v>0</v>
      </c>
      <c r="AF99" s="20">
        <v>0</v>
      </c>
      <c r="AG99" s="20">
        <v>0</v>
      </c>
      <c r="AH99" s="20">
        <v>0</v>
      </c>
      <c r="AI99" s="20">
        <v>0</v>
      </c>
      <c r="AJ99" s="20">
        <v>0</v>
      </c>
      <c r="AK99" s="20">
        <v>0</v>
      </c>
      <c r="AL99" s="20">
        <v>0</v>
      </c>
      <c r="AM99" s="20">
        <v>0</v>
      </c>
      <c r="AN99" s="20">
        <v>0</v>
      </c>
      <c r="AO99" s="20">
        <v>0</v>
      </c>
      <c r="AP99" s="20">
        <v>0</v>
      </c>
      <c r="AQ99" s="20">
        <v>0</v>
      </c>
      <c r="AR99" s="20">
        <v>0</v>
      </c>
      <c r="AS99" s="55"/>
      <c r="AT99"/>
      <c r="AU99" s="20">
        <v>0</v>
      </c>
      <c r="AV99" s="20"/>
      <c r="AW99" s="11">
        <f t="shared" si="393"/>
        <v>0</v>
      </c>
      <c r="AX99" s="11">
        <f t="shared" si="394"/>
        <v>0</v>
      </c>
      <c r="AY99" s="11">
        <f t="shared" si="395"/>
        <v>0</v>
      </c>
      <c r="AZ99" s="11">
        <f t="shared" si="396"/>
        <v>0</v>
      </c>
      <c r="BA99" s="11">
        <f t="shared" si="397"/>
        <v>0</v>
      </c>
      <c r="BB99" s="11">
        <f t="shared" si="398"/>
        <v>0</v>
      </c>
      <c r="BC99" s="11">
        <f t="shared" si="399"/>
        <v>0</v>
      </c>
      <c r="BD99" s="11">
        <f t="shared" si="400"/>
        <v>0</v>
      </c>
      <c r="BE99" s="11">
        <f t="shared" si="401"/>
        <v>0</v>
      </c>
      <c r="BF99" s="11">
        <f t="shared" si="402"/>
        <v>0</v>
      </c>
      <c r="BG99" s="11">
        <f t="shared" si="403"/>
        <v>47.660000000000004</v>
      </c>
      <c r="BH99" s="11">
        <f t="shared" si="404"/>
        <v>0</v>
      </c>
      <c r="BI99" s="11">
        <f t="shared" si="405"/>
        <v>0</v>
      </c>
      <c r="BJ99" s="56">
        <f t="shared" si="406"/>
        <v>0</v>
      </c>
      <c r="BK99" s="11">
        <f t="shared" si="407"/>
        <v>0</v>
      </c>
      <c r="BL99" s="34">
        <f t="shared" si="408"/>
        <v>0</v>
      </c>
      <c r="BM99" s="11">
        <f t="shared" si="409"/>
        <v>0</v>
      </c>
      <c r="BN99" s="11">
        <f t="shared" si="410"/>
        <v>0</v>
      </c>
      <c r="BO99" s="11">
        <f t="shared" si="411"/>
        <v>52.34</v>
      </c>
      <c r="BP99" s="11">
        <f t="shared" si="412"/>
        <v>0</v>
      </c>
      <c r="BQ99" s="54"/>
      <c r="BR99" s="56">
        <f t="shared" si="413"/>
        <v>0</v>
      </c>
      <c r="BS99" s="56">
        <f t="shared" si="414"/>
        <v>0</v>
      </c>
      <c r="BT99" s="56">
        <f t="shared" si="415"/>
        <v>0</v>
      </c>
      <c r="BU99" s="56">
        <f t="shared" si="416"/>
        <v>0</v>
      </c>
      <c r="BV99" s="56">
        <f t="shared" si="417"/>
        <v>0</v>
      </c>
      <c r="BW99" s="56">
        <f t="shared" si="418"/>
        <v>0</v>
      </c>
      <c r="BX99" s="56">
        <f t="shared" si="419"/>
        <v>0</v>
      </c>
      <c r="BY99" s="56">
        <f t="shared" si="420"/>
        <v>0</v>
      </c>
      <c r="BZ99" s="56">
        <f t="shared" si="421"/>
        <v>0</v>
      </c>
      <c r="CA99" s="56">
        <f t="shared" si="422"/>
        <v>0</v>
      </c>
      <c r="CB99" s="56">
        <f t="shared" si="423"/>
        <v>0</v>
      </c>
      <c r="CC99" s="56">
        <f t="shared" si="424"/>
        <v>0</v>
      </c>
      <c r="CD99" s="56">
        <f t="shared" si="425"/>
        <v>0</v>
      </c>
      <c r="CE99" s="56">
        <f t="shared" si="426"/>
        <v>0</v>
      </c>
      <c r="CF99" s="56">
        <f t="shared" si="427"/>
        <v>0</v>
      </c>
      <c r="CG99" s="56">
        <f t="shared" si="428"/>
        <v>0</v>
      </c>
      <c r="CH99" s="54"/>
      <c r="CI99" s="11"/>
      <c r="CJ99" s="12" t="e">
        <f t="shared" ca="1" si="429"/>
        <v>#NAME?</v>
      </c>
      <c r="CK99" s="16"/>
      <c r="CL99" s="60">
        <f t="shared" si="430"/>
        <v>0</v>
      </c>
      <c r="CM99" s="60">
        <f t="shared" si="431"/>
        <v>0</v>
      </c>
      <c r="CN99" s="60">
        <f t="shared" si="432"/>
        <v>0</v>
      </c>
      <c r="CO99" s="60">
        <f t="shared" si="433"/>
        <v>0</v>
      </c>
      <c r="CP99" s="60">
        <f t="shared" si="434"/>
        <v>0</v>
      </c>
      <c r="CQ99" s="60">
        <f t="shared" si="435"/>
        <v>0</v>
      </c>
      <c r="CR99" s="60">
        <f t="shared" si="436"/>
        <v>0</v>
      </c>
      <c r="CS99" s="60">
        <f t="shared" si="437"/>
        <v>0</v>
      </c>
      <c r="CT99" s="60">
        <f t="shared" si="438"/>
        <v>0</v>
      </c>
      <c r="CU99" s="60">
        <f t="shared" si="439"/>
        <v>0</v>
      </c>
      <c r="CV99" s="60">
        <f t="shared" si="440"/>
        <v>0</v>
      </c>
      <c r="CW99" s="60">
        <f t="shared" si="441"/>
        <v>100</v>
      </c>
      <c r="CX99" s="60">
        <f t="shared" si="442"/>
        <v>0</v>
      </c>
      <c r="CY99" s="60">
        <f t="shared" si="443"/>
        <v>0</v>
      </c>
      <c r="CZ99" s="60">
        <f t="shared" si="444"/>
        <v>0</v>
      </c>
      <c r="DA99" s="60">
        <f t="shared" si="445"/>
        <v>0</v>
      </c>
      <c r="DB99" s="60">
        <f t="shared" si="446"/>
        <v>0</v>
      </c>
      <c r="DC99" s="60">
        <f t="shared" si="447"/>
        <v>0</v>
      </c>
      <c r="DD99" s="60">
        <f t="shared" si="448"/>
        <v>0</v>
      </c>
      <c r="DE99" s="60">
        <f t="shared" si="449"/>
        <v>0</v>
      </c>
      <c r="DF99" s="55"/>
      <c r="DG99" s="60">
        <f t="shared" si="450"/>
        <v>0</v>
      </c>
      <c r="DH99" s="60">
        <f t="shared" si="451"/>
        <v>0</v>
      </c>
      <c r="DI99" s="60">
        <f t="shared" si="452"/>
        <v>0</v>
      </c>
      <c r="DJ99" s="60">
        <f t="shared" si="453"/>
        <v>0</v>
      </c>
      <c r="DK99" s="60">
        <f t="shared" si="454"/>
        <v>0</v>
      </c>
      <c r="DL99" s="60">
        <f t="shared" si="455"/>
        <v>0</v>
      </c>
      <c r="DM99" s="60">
        <f t="shared" si="456"/>
        <v>0</v>
      </c>
      <c r="DN99" s="60">
        <f t="shared" si="457"/>
        <v>0</v>
      </c>
      <c r="DO99" s="60">
        <f t="shared" si="458"/>
        <v>0</v>
      </c>
      <c r="DP99" s="60">
        <f t="shared" si="459"/>
        <v>0</v>
      </c>
      <c r="DQ99" s="60">
        <f t="shared" si="460"/>
        <v>0</v>
      </c>
      <c r="DR99" s="60">
        <f t="shared" si="461"/>
        <v>0</v>
      </c>
      <c r="DS99" s="60">
        <f t="shared" si="462"/>
        <v>0</v>
      </c>
      <c r="DT99" s="60">
        <f t="shared" si="463"/>
        <v>0</v>
      </c>
      <c r="DU99" s="60">
        <f t="shared" si="464"/>
        <v>0</v>
      </c>
      <c r="DV99" s="60">
        <f t="shared" si="465"/>
        <v>0</v>
      </c>
      <c r="DW99" s="60"/>
      <c r="DX99" s="60" t="e">
        <f t="shared" ca="1" si="466"/>
        <v>#NAME?</v>
      </c>
    </row>
    <row r="100" spans="1:128" s="19" customFormat="1" ht="16" customHeight="1">
      <c r="A100" s="18"/>
      <c r="B100" s="17" t="s">
        <v>460</v>
      </c>
      <c r="C100" s="109" t="s">
        <v>461</v>
      </c>
      <c r="D100" s="16"/>
      <c r="E100" s="16"/>
      <c r="F100" s="16"/>
      <c r="G100" s="16"/>
      <c r="H100" s="20">
        <v>24.55320587231644</v>
      </c>
      <c r="I100" s="20">
        <v>0</v>
      </c>
      <c r="J100" s="20">
        <v>15.013781116288063</v>
      </c>
      <c r="K100" s="20">
        <v>0</v>
      </c>
      <c r="L100" s="20">
        <v>0</v>
      </c>
      <c r="M100" s="20"/>
      <c r="N100" s="20">
        <v>0</v>
      </c>
      <c r="O100" s="20">
        <v>0</v>
      </c>
      <c r="P100" s="20">
        <v>0</v>
      </c>
      <c r="Q100" s="20">
        <v>0</v>
      </c>
      <c r="R100" s="20">
        <v>0</v>
      </c>
      <c r="S100" s="20">
        <v>0</v>
      </c>
      <c r="T100" s="20">
        <v>0</v>
      </c>
      <c r="U100" s="20">
        <v>0</v>
      </c>
      <c r="V100" s="20">
        <v>0</v>
      </c>
      <c r="W100" s="20">
        <v>0</v>
      </c>
      <c r="X100" s="20">
        <v>0</v>
      </c>
      <c r="Y100" s="20">
        <v>60.433013011395509</v>
      </c>
      <c r="Z100" s="20">
        <v>0</v>
      </c>
      <c r="AA100" s="20">
        <v>0</v>
      </c>
      <c r="AB100" s="55"/>
      <c r="AC100" s="20">
        <v>0</v>
      </c>
      <c r="AD100" s="20">
        <v>0</v>
      </c>
      <c r="AE100" s="20">
        <v>0</v>
      </c>
      <c r="AF100" s="20">
        <v>0</v>
      </c>
      <c r="AG100" s="20">
        <v>0</v>
      </c>
      <c r="AH100" s="20">
        <v>0</v>
      </c>
      <c r="AI100" s="20">
        <v>0</v>
      </c>
      <c r="AJ100" s="20">
        <v>0</v>
      </c>
      <c r="AK100" s="20">
        <v>0</v>
      </c>
      <c r="AL100" s="20">
        <v>0</v>
      </c>
      <c r="AM100" s="20">
        <v>0</v>
      </c>
      <c r="AN100" s="20">
        <v>0</v>
      </c>
      <c r="AO100" s="20">
        <v>0</v>
      </c>
      <c r="AP100" s="20">
        <v>0</v>
      </c>
      <c r="AQ100" s="20">
        <v>0</v>
      </c>
      <c r="AR100" s="20">
        <v>0</v>
      </c>
      <c r="AS100" s="55"/>
      <c r="AT100"/>
      <c r="AU100" s="20">
        <v>0</v>
      </c>
      <c r="AV100" s="20"/>
      <c r="AW100" s="11">
        <f t="shared" si="393"/>
        <v>33.450000000000003</v>
      </c>
      <c r="AX100" s="11">
        <f t="shared" si="394"/>
        <v>0</v>
      </c>
      <c r="AY100" s="11">
        <f t="shared" si="395"/>
        <v>19.649999999999995</v>
      </c>
      <c r="AZ100" s="11">
        <f t="shared" si="396"/>
        <v>0</v>
      </c>
      <c r="BA100" s="11">
        <f t="shared" si="397"/>
        <v>0</v>
      </c>
      <c r="BB100" s="11">
        <f t="shared" si="398"/>
        <v>0</v>
      </c>
      <c r="BC100" s="11">
        <f t="shared" si="399"/>
        <v>0</v>
      </c>
      <c r="BD100" s="11">
        <f t="shared" si="400"/>
        <v>0</v>
      </c>
      <c r="BE100" s="11">
        <f t="shared" si="401"/>
        <v>0</v>
      </c>
      <c r="BF100" s="11">
        <f t="shared" si="402"/>
        <v>0</v>
      </c>
      <c r="BG100" s="11">
        <f t="shared" si="403"/>
        <v>0</v>
      </c>
      <c r="BH100" s="11">
        <f t="shared" si="404"/>
        <v>0</v>
      </c>
      <c r="BI100" s="11">
        <f t="shared" si="405"/>
        <v>0</v>
      </c>
      <c r="BJ100" s="56">
        <f t="shared" si="406"/>
        <v>0</v>
      </c>
      <c r="BK100" s="11">
        <f t="shared" si="407"/>
        <v>0</v>
      </c>
      <c r="BL100" s="34">
        <f t="shared" si="408"/>
        <v>0</v>
      </c>
      <c r="BM100" s="11">
        <f t="shared" si="409"/>
        <v>0</v>
      </c>
      <c r="BN100" s="11">
        <f t="shared" si="410"/>
        <v>0</v>
      </c>
      <c r="BO100" s="11">
        <f t="shared" si="411"/>
        <v>46.900000000000013</v>
      </c>
      <c r="BP100" s="11">
        <f t="shared" si="412"/>
        <v>0</v>
      </c>
      <c r="BQ100" s="54"/>
      <c r="BR100" s="56">
        <f t="shared" si="413"/>
        <v>0</v>
      </c>
      <c r="BS100" s="56">
        <f t="shared" si="414"/>
        <v>0</v>
      </c>
      <c r="BT100" s="56">
        <f t="shared" si="415"/>
        <v>0</v>
      </c>
      <c r="BU100" s="56">
        <f t="shared" si="416"/>
        <v>0</v>
      </c>
      <c r="BV100" s="56">
        <f t="shared" si="417"/>
        <v>0</v>
      </c>
      <c r="BW100" s="56">
        <f t="shared" si="418"/>
        <v>0</v>
      </c>
      <c r="BX100" s="56">
        <f t="shared" si="419"/>
        <v>0</v>
      </c>
      <c r="BY100" s="56">
        <f t="shared" si="420"/>
        <v>0</v>
      </c>
      <c r="BZ100" s="56">
        <f t="shared" si="421"/>
        <v>0</v>
      </c>
      <c r="CA100" s="56">
        <f t="shared" si="422"/>
        <v>0</v>
      </c>
      <c r="CB100" s="56">
        <f t="shared" si="423"/>
        <v>0</v>
      </c>
      <c r="CC100" s="56">
        <f t="shared" si="424"/>
        <v>0</v>
      </c>
      <c r="CD100" s="56">
        <f t="shared" si="425"/>
        <v>0</v>
      </c>
      <c r="CE100" s="56">
        <f t="shared" si="426"/>
        <v>0</v>
      </c>
      <c r="CF100" s="56">
        <f t="shared" si="427"/>
        <v>0</v>
      </c>
      <c r="CG100" s="56">
        <f t="shared" si="428"/>
        <v>0</v>
      </c>
      <c r="CH100" s="54"/>
      <c r="CI100" s="11"/>
      <c r="CJ100" s="12" t="e">
        <f t="shared" ca="1" si="429"/>
        <v>#NAME?</v>
      </c>
      <c r="CK100" s="16"/>
      <c r="CL100" s="60">
        <f t="shared" si="430"/>
        <v>65.840047225598695</v>
      </c>
      <c r="CM100" s="60">
        <f t="shared" si="431"/>
        <v>0</v>
      </c>
      <c r="CN100" s="60">
        <f t="shared" si="432"/>
        <v>34.159952774401297</v>
      </c>
      <c r="CO100" s="60">
        <f t="shared" si="433"/>
        <v>0</v>
      </c>
      <c r="CP100" s="60">
        <f t="shared" si="434"/>
        <v>0</v>
      </c>
      <c r="CQ100" s="60">
        <f t="shared" si="435"/>
        <v>0</v>
      </c>
      <c r="CR100" s="60">
        <f t="shared" si="436"/>
        <v>0</v>
      </c>
      <c r="CS100" s="60">
        <f t="shared" si="437"/>
        <v>0</v>
      </c>
      <c r="CT100" s="60">
        <f t="shared" si="438"/>
        <v>0</v>
      </c>
      <c r="CU100" s="60">
        <f t="shared" si="439"/>
        <v>0</v>
      </c>
      <c r="CV100" s="60">
        <f t="shared" si="440"/>
        <v>0</v>
      </c>
      <c r="CW100" s="60">
        <f t="shared" si="441"/>
        <v>0</v>
      </c>
      <c r="CX100" s="60">
        <f t="shared" si="442"/>
        <v>0</v>
      </c>
      <c r="CY100" s="60">
        <f t="shared" si="443"/>
        <v>0</v>
      </c>
      <c r="CZ100" s="60">
        <f t="shared" si="444"/>
        <v>0</v>
      </c>
      <c r="DA100" s="60">
        <f t="shared" si="445"/>
        <v>0</v>
      </c>
      <c r="DB100" s="60">
        <f t="shared" si="446"/>
        <v>0</v>
      </c>
      <c r="DC100" s="60">
        <f t="shared" si="447"/>
        <v>0</v>
      </c>
      <c r="DD100" s="60">
        <f t="shared" si="448"/>
        <v>0</v>
      </c>
      <c r="DE100" s="60">
        <f t="shared" si="449"/>
        <v>0</v>
      </c>
      <c r="DF100" s="55"/>
      <c r="DG100" s="60">
        <f t="shared" si="450"/>
        <v>0</v>
      </c>
      <c r="DH100" s="60">
        <f t="shared" si="451"/>
        <v>0</v>
      </c>
      <c r="DI100" s="60">
        <f t="shared" si="452"/>
        <v>0</v>
      </c>
      <c r="DJ100" s="60">
        <f t="shared" si="453"/>
        <v>0</v>
      </c>
      <c r="DK100" s="60">
        <f t="shared" si="454"/>
        <v>0</v>
      </c>
      <c r="DL100" s="60">
        <f t="shared" si="455"/>
        <v>0</v>
      </c>
      <c r="DM100" s="60">
        <f t="shared" si="456"/>
        <v>0</v>
      </c>
      <c r="DN100" s="60">
        <f t="shared" si="457"/>
        <v>0</v>
      </c>
      <c r="DO100" s="60">
        <f t="shared" si="458"/>
        <v>0</v>
      </c>
      <c r="DP100" s="60">
        <f t="shared" si="459"/>
        <v>0</v>
      </c>
      <c r="DQ100" s="60">
        <f t="shared" si="460"/>
        <v>0</v>
      </c>
      <c r="DR100" s="60">
        <f t="shared" si="461"/>
        <v>0</v>
      </c>
      <c r="DS100" s="60">
        <f t="shared" si="462"/>
        <v>0</v>
      </c>
      <c r="DT100" s="60">
        <f t="shared" si="463"/>
        <v>0</v>
      </c>
      <c r="DU100" s="60">
        <f t="shared" si="464"/>
        <v>0</v>
      </c>
      <c r="DV100" s="60">
        <f t="shared" si="465"/>
        <v>0</v>
      </c>
      <c r="DW100" s="60"/>
      <c r="DX100" s="60" t="e">
        <f t="shared" ca="1" si="466"/>
        <v>#NAME?</v>
      </c>
    </row>
    <row r="101" spans="1:128" s="19" customFormat="1" ht="16" customHeight="1">
      <c r="A101" s="18"/>
      <c r="B101" s="17"/>
      <c r="C101" s="16"/>
      <c r="D101" s="16"/>
      <c r="E101" s="16"/>
      <c r="F101" s="16"/>
      <c r="G101" s="16"/>
      <c r="H101" s="20"/>
      <c r="I101" s="20"/>
      <c r="J101" s="20"/>
      <c r="K101" s="20"/>
      <c r="L101" s="20"/>
      <c r="M101" s="20"/>
      <c r="N101" s="20"/>
      <c r="O101" s="20"/>
      <c r="P101" s="20"/>
      <c r="Q101" s="20"/>
      <c r="R101" s="20"/>
      <c r="S101" s="20"/>
      <c r="T101"/>
      <c r="U101"/>
      <c r="V101"/>
      <c r="W101"/>
      <c r="X101"/>
      <c r="Y101"/>
      <c r="Z101" s="16"/>
      <c r="AA101" s="16"/>
      <c r="AB101" s="55"/>
      <c r="AC101"/>
      <c r="AD101"/>
      <c r="AE101"/>
      <c r="AF101"/>
      <c r="AG101"/>
      <c r="AH101"/>
      <c r="AI101"/>
      <c r="AJ101"/>
      <c r="AK101"/>
      <c r="AL101"/>
      <c r="AM101"/>
      <c r="AN101"/>
      <c r="AO101"/>
      <c r="AP101"/>
      <c r="AQ101"/>
      <c r="AS101" s="55"/>
      <c r="AT101"/>
      <c r="AU101" s="41"/>
      <c r="AV101" s="16"/>
      <c r="AW101" s="16"/>
      <c r="AX101" s="16"/>
      <c r="AY101" s="16"/>
      <c r="AZ101" s="16"/>
      <c r="BA101" s="16"/>
      <c r="BB101" s="16"/>
      <c r="BC101" s="16"/>
      <c r="BD101" s="16"/>
      <c r="BE101" s="16"/>
      <c r="BF101" s="16"/>
      <c r="BG101" s="16"/>
      <c r="BH101" s="16"/>
      <c r="BI101"/>
      <c r="BJ101"/>
      <c r="BK101"/>
      <c r="BL101"/>
      <c r="BM101"/>
      <c r="BN101"/>
      <c r="BO101"/>
      <c r="BP101"/>
      <c r="BQ101" s="55"/>
      <c r="BR101"/>
      <c r="BS101"/>
      <c r="BT101"/>
      <c r="BU101"/>
      <c r="BV101"/>
      <c r="BW101"/>
      <c r="BX101"/>
      <c r="BY101"/>
      <c r="BZ101"/>
      <c r="CA101"/>
      <c r="CB101"/>
      <c r="CC101"/>
      <c r="CD101"/>
      <c r="CE101"/>
      <c r="CF101"/>
      <c r="CH101" s="55"/>
      <c r="CI101"/>
      <c r="CJ101" s="16"/>
      <c r="CK101" s="16"/>
      <c r="CL101" s="28"/>
      <c r="CM101" s="28"/>
      <c r="CN101" s="28"/>
      <c r="CO101" s="28"/>
      <c r="CP101" s="28"/>
      <c r="CQ101" s="28"/>
      <c r="CR101" s="28"/>
      <c r="CS101" s="28"/>
      <c r="CT101" s="28"/>
      <c r="CU101" s="28"/>
      <c r="CV101" s="28"/>
      <c r="CW101" s="28"/>
      <c r="CX101" s="28"/>
      <c r="CY101" s="28"/>
      <c r="CZ101" s="28"/>
      <c r="DA101" s="28"/>
      <c r="DB101" s="28"/>
      <c r="DC101" s="28"/>
      <c r="DD101" s="28"/>
      <c r="DF101" s="55"/>
      <c r="DX101" s="28"/>
    </row>
    <row r="102" spans="1:128" s="19" customFormat="1" ht="16" customHeight="1">
      <c r="A102" s="18"/>
      <c r="B102" s="17"/>
      <c r="C102" s="16"/>
      <c r="D102" s="16"/>
      <c r="E102" s="16"/>
      <c r="F102" s="16"/>
      <c r="G102" s="16"/>
      <c r="H102" s="20"/>
      <c r="I102" s="20"/>
      <c r="J102" s="20"/>
      <c r="K102" s="20"/>
      <c r="L102" s="20"/>
      <c r="M102" s="20"/>
      <c r="N102" s="20"/>
      <c r="O102" s="20"/>
      <c r="P102" s="20"/>
      <c r="Q102" s="20"/>
      <c r="R102" s="20"/>
      <c r="S102" s="20"/>
      <c r="T102"/>
      <c r="U102"/>
      <c r="V102"/>
      <c r="W102"/>
      <c r="X102"/>
      <c r="Y102"/>
      <c r="Z102" s="16"/>
      <c r="AA102" s="16"/>
      <c r="AB102" s="55"/>
      <c r="AC102"/>
      <c r="AD102"/>
      <c r="AE102"/>
      <c r="AF102"/>
      <c r="AG102"/>
      <c r="AH102"/>
      <c r="AI102"/>
      <c r="AJ102"/>
      <c r="AK102"/>
      <c r="AL102"/>
      <c r="AM102"/>
      <c r="AN102"/>
      <c r="AO102"/>
      <c r="AP102"/>
      <c r="AQ102"/>
      <c r="AS102" s="55"/>
      <c r="AT102"/>
      <c r="AU102" s="41"/>
      <c r="AV102" s="16"/>
      <c r="AW102" s="16"/>
      <c r="AX102" s="16"/>
      <c r="AY102" s="16"/>
      <c r="AZ102" s="16"/>
      <c r="BA102" s="16"/>
      <c r="BB102" s="16"/>
      <c r="BC102" s="16"/>
      <c r="BD102" s="16"/>
      <c r="BE102" s="16"/>
      <c r="BF102" s="16"/>
      <c r="BG102" s="16"/>
      <c r="BH102" s="16"/>
      <c r="BI102"/>
      <c r="BJ102"/>
      <c r="BK102"/>
      <c r="BL102"/>
      <c r="BM102"/>
      <c r="BN102"/>
      <c r="BO102"/>
      <c r="BP102"/>
      <c r="BQ102" s="55"/>
      <c r="BR102"/>
      <c r="BS102"/>
      <c r="BT102"/>
      <c r="BU102"/>
      <c r="BV102"/>
      <c r="BW102"/>
      <c r="BX102"/>
      <c r="BY102"/>
      <c r="BZ102"/>
      <c r="CA102"/>
      <c r="CB102"/>
      <c r="CC102"/>
      <c r="CD102"/>
      <c r="CE102"/>
      <c r="CF102"/>
      <c r="CH102" s="55"/>
      <c r="CI102"/>
      <c r="CJ102" s="16"/>
      <c r="CK102" s="16"/>
      <c r="CL102" s="28"/>
      <c r="CM102" s="28"/>
      <c r="CN102" s="28"/>
      <c r="CO102" s="28"/>
      <c r="CP102" s="28"/>
      <c r="CQ102" s="28"/>
      <c r="CR102" s="28"/>
      <c r="CS102" s="28"/>
      <c r="CT102" s="28"/>
      <c r="CU102" s="28"/>
      <c r="CV102" s="28"/>
      <c r="CW102" s="28"/>
      <c r="CX102" s="28"/>
      <c r="CY102" s="28"/>
      <c r="CZ102" s="28"/>
      <c r="DA102" s="28"/>
      <c r="DB102" s="28"/>
      <c r="DC102" s="28"/>
      <c r="DD102" s="28"/>
      <c r="DF102" s="55"/>
      <c r="DX102" s="28"/>
    </row>
    <row r="103" spans="1:128" s="19" customFormat="1" ht="16" customHeight="1">
      <c r="A103" s="18"/>
      <c r="B103" s="17"/>
      <c r="C103" s="16"/>
      <c r="D103" s="16"/>
      <c r="E103" s="16"/>
      <c r="F103" s="16"/>
      <c r="G103" s="16"/>
      <c r="H103" s="20"/>
      <c r="I103" s="20"/>
      <c r="J103" s="20"/>
      <c r="K103" s="20"/>
      <c r="L103" s="20"/>
      <c r="M103" s="20"/>
      <c r="N103" s="20"/>
      <c r="O103" s="20"/>
      <c r="P103" s="20"/>
      <c r="Q103" s="20"/>
      <c r="R103" s="20"/>
      <c r="S103" s="20"/>
      <c r="T103"/>
      <c r="U103"/>
      <c r="V103"/>
      <c r="W103"/>
      <c r="X103"/>
      <c r="Y103"/>
      <c r="Z103" s="16"/>
      <c r="AA103" s="16"/>
      <c r="AB103" s="55"/>
      <c r="AC103"/>
      <c r="AD103"/>
      <c r="AE103"/>
      <c r="AF103"/>
      <c r="AG103"/>
      <c r="AH103"/>
      <c r="AI103"/>
      <c r="AJ103"/>
      <c r="AK103"/>
      <c r="AL103"/>
      <c r="AM103"/>
      <c r="AN103"/>
      <c r="AO103"/>
      <c r="AP103"/>
      <c r="AQ103"/>
      <c r="AS103" s="55"/>
      <c r="AT103"/>
      <c r="AU103" s="41"/>
      <c r="AV103" s="16"/>
      <c r="AW103" s="16"/>
      <c r="AX103" s="16"/>
      <c r="AY103" s="16"/>
      <c r="AZ103" s="16"/>
      <c r="BA103" s="16"/>
      <c r="BB103" s="16"/>
      <c r="BC103" s="16"/>
      <c r="BD103" s="16"/>
      <c r="BE103" s="16"/>
      <c r="BF103" s="16"/>
      <c r="BG103" s="16"/>
      <c r="BH103" s="16"/>
      <c r="BI103"/>
      <c r="BJ103"/>
      <c r="BK103"/>
      <c r="BL103"/>
      <c r="BM103"/>
      <c r="BN103"/>
      <c r="BO103"/>
      <c r="BP103"/>
      <c r="BQ103" s="55"/>
      <c r="BR103"/>
      <c r="BS103"/>
      <c r="BT103"/>
      <c r="BU103"/>
      <c r="BV103"/>
      <c r="BW103"/>
      <c r="BX103"/>
      <c r="BY103"/>
      <c r="BZ103"/>
      <c r="CA103"/>
      <c r="CB103"/>
      <c r="CC103"/>
      <c r="CD103"/>
      <c r="CE103"/>
      <c r="CF103"/>
      <c r="CH103" s="55"/>
      <c r="CI103"/>
      <c r="CJ103" s="16"/>
      <c r="CK103" s="16"/>
      <c r="CL103" s="28"/>
      <c r="CM103" s="28"/>
      <c r="CN103" s="28"/>
      <c r="CO103" s="28"/>
      <c r="CP103" s="28"/>
      <c r="CQ103" s="28"/>
      <c r="CR103" s="28"/>
      <c r="CS103" s="28"/>
      <c r="CT103" s="28"/>
      <c r="CU103" s="28"/>
      <c r="CV103" s="28"/>
      <c r="CW103" s="28"/>
      <c r="CX103" s="28"/>
      <c r="CY103" s="28"/>
      <c r="CZ103" s="28"/>
      <c r="DA103" s="28"/>
      <c r="DB103" s="28"/>
      <c r="DC103" s="28"/>
      <c r="DD103" s="28"/>
      <c r="DF103" s="55"/>
      <c r="DX103" s="28"/>
    </row>
    <row r="104" spans="1:128" s="19" customFormat="1" ht="16" customHeight="1">
      <c r="A104" s="18"/>
      <c r="B104" s="17"/>
      <c r="C104" s="16"/>
      <c r="D104" s="16"/>
      <c r="E104" s="16"/>
      <c r="F104" s="16"/>
      <c r="G104" s="16"/>
      <c r="H104" s="20"/>
      <c r="I104" s="20"/>
      <c r="J104" s="20"/>
      <c r="K104" s="20"/>
      <c r="L104" s="20"/>
      <c r="M104" s="20"/>
      <c r="N104" s="20"/>
      <c r="O104" s="20"/>
      <c r="P104" s="20"/>
      <c r="Q104" s="20"/>
      <c r="R104" s="20"/>
      <c r="S104" s="20"/>
      <c r="T104"/>
      <c r="U104"/>
      <c r="V104"/>
      <c r="W104"/>
      <c r="X104"/>
      <c r="Y104"/>
      <c r="Z104" s="16"/>
      <c r="AA104" s="16"/>
      <c r="AB104" s="55"/>
      <c r="AC104"/>
      <c r="AD104"/>
      <c r="AE104"/>
      <c r="AF104"/>
      <c r="AG104"/>
      <c r="AH104"/>
      <c r="AI104"/>
      <c r="AJ104"/>
      <c r="AK104"/>
      <c r="AL104"/>
      <c r="AM104"/>
      <c r="AN104"/>
      <c r="AO104"/>
      <c r="AP104"/>
      <c r="AQ104"/>
      <c r="AS104" s="55"/>
      <c r="AT104"/>
      <c r="AU104" s="41"/>
      <c r="AV104" s="16"/>
      <c r="AW104" s="16"/>
      <c r="AX104" s="16"/>
      <c r="AY104" s="16"/>
      <c r="AZ104" s="16"/>
      <c r="BA104" s="16"/>
      <c r="BB104" s="16"/>
      <c r="BC104" s="16"/>
      <c r="BD104" s="16"/>
      <c r="BE104" s="16"/>
      <c r="BF104" s="16"/>
      <c r="BG104" s="16"/>
      <c r="BH104" s="16"/>
      <c r="BI104"/>
      <c r="BJ104"/>
      <c r="BK104"/>
      <c r="BL104"/>
      <c r="BM104"/>
      <c r="BN104"/>
      <c r="BO104"/>
      <c r="BP104"/>
      <c r="BQ104" s="55"/>
      <c r="BR104"/>
      <c r="BS104"/>
      <c r="BT104"/>
      <c r="BU104"/>
      <c r="BV104"/>
      <c r="BW104"/>
      <c r="BX104"/>
      <c r="BY104"/>
      <c r="BZ104"/>
      <c r="CA104"/>
      <c r="CB104"/>
      <c r="CC104"/>
      <c r="CD104"/>
      <c r="CE104"/>
      <c r="CF104"/>
      <c r="CH104" s="55"/>
      <c r="CI104"/>
      <c r="CJ104" s="16"/>
      <c r="CK104" s="16"/>
      <c r="CL104" s="28"/>
      <c r="CM104" s="28"/>
      <c r="CN104" s="28"/>
      <c r="CO104" s="28"/>
      <c r="CP104" s="28"/>
      <c r="CQ104" s="28"/>
      <c r="CR104" s="28"/>
      <c r="CS104" s="28"/>
      <c r="CT104" s="28"/>
      <c r="CU104" s="28"/>
      <c r="CV104" s="28"/>
      <c r="CW104" s="28"/>
      <c r="CX104" s="28"/>
      <c r="CY104" s="28"/>
      <c r="CZ104" s="28"/>
      <c r="DA104" s="28"/>
      <c r="DB104" s="28"/>
      <c r="DC104" s="28"/>
      <c r="DD104" s="28"/>
      <c r="DF104" s="55"/>
      <c r="DX104" s="28"/>
    </row>
    <row r="105" spans="1:128" s="19" customFormat="1" ht="16" customHeight="1">
      <c r="A105" s="18"/>
      <c r="B105" s="17"/>
      <c r="C105" s="16"/>
      <c r="D105" s="16"/>
      <c r="E105" s="16"/>
      <c r="F105" s="16"/>
      <c r="G105" s="16"/>
      <c r="H105" s="20"/>
      <c r="I105" s="20"/>
      <c r="J105" s="20"/>
      <c r="K105" s="20"/>
      <c r="L105" s="20"/>
      <c r="M105" s="20"/>
      <c r="N105" s="20"/>
      <c r="O105" s="20"/>
      <c r="P105" s="20"/>
      <c r="Q105" s="20"/>
      <c r="R105" s="20"/>
      <c r="S105" s="20"/>
      <c r="T105"/>
      <c r="U105"/>
      <c r="V105"/>
      <c r="W105"/>
      <c r="X105"/>
      <c r="Y105"/>
      <c r="Z105" s="16"/>
      <c r="AA105" s="16"/>
      <c r="AB105" s="55"/>
      <c r="AC105"/>
      <c r="AD105"/>
      <c r="AE105"/>
      <c r="AF105"/>
      <c r="AG105"/>
      <c r="AH105"/>
      <c r="AI105"/>
      <c r="AJ105"/>
      <c r="AK105"/>
      <c r="AL105"/>
      <c r="AM105"/>
      <c r="AN105"/>
      <c r="AO105"/>
      <c r="AP105"/>
      <c r="AQ105"/>
      <c r="AS105" s="55"/>
      <c r="AT105"/>
      <c r="AU105" s="41"/>
      <c r="AV105" s="16"/>
      <c r="AW105" s="16"/>
      <c r="AX105" s="16"/>
      <c r="AY105" s="16"/>
      <c r="AZ105" s="16"/>
      <c r="BA105" s="16"/>
      <c r="BB105" s="16"/>
      <c r="BC105" s="16"/>
      <c r="BD105" s="16"/>
      <c r="BE105" s="16"/>
      <c r="BF105" s="16"/>
      <c r="BG105" s="16"/>
      <c r="BH105" s="16"/>
      <c r="BI105"/>
      <c r="BJ105"/>
      <c r="BK105"/>
      <c r="BL105"/>
      <c r="BM105"/>
      <c r="BN105"/>
      <c r="BO105"/>
      <c r="BP105"/>
      <c r="BQ105" s="55"/>
      <c r="BR105"/>
      <c r="BS105"/>
      <c r="BT105"/>
      <c r="BU105"/>
      <c r="BV105"/>
      <c r="BW105"/>
      <c r="BX105"/>
      <c r="BY105"/>
      <c r="BZ105"/>
      <c r="CA105"/>
      <c r="CB105"/>
      <c r="CC105"/>
      <c r="CD105"/>
      <c r="CE105"/>
      <c r="CF105"/>
      <c r="CH105" s="55"/>
      <c r="CI105"/>
      <c r="CJ105" s="16"/>
      <c r="CK105" s="16"/>
      <c r="CL105" s="28"/>
      <c r="CM105" s="28"/>
      <c r="CN105" s="28"/>
      <c r="CO105" s="28"/>
      <c r="CP105" s="28"/>
      <c r="CQ105" s="28"/>
      <c r="CR105" s="28"/>
      <c r="CS105" s="28"/>
      <c r="CT105" s="28"/>
      <c r="CU105" s="28"/>
      <c r="CV105" s="28"/>
      <c r="CW105" s="28"/>
      <c r="CX105" s="28"/>
      <c r="CY105" s="28"/>
      <c r="CZ105" s="28"/>
      <c r="DA105" s="28"/>
      <c r="DB105" s="28"/>
      <c r="DC105" s="28"/>
      <c r="DD105" s="28"/>
      <c r="DF105" s="55"/>
      <c r="DX105" s="28"/>
    </row>
    <row r="106" spans="1:128" s="19" customFormat="1" ht="16" customHeight="1">
      <c r="A106" s="18"/>
      <c r="B106" s="17"/>
      <c r="C106" s="16"/>
      <c r="D106" s="16"/>
      <c r="E106" s="16"/>
      <c r="F106" s="16"/>
      <c r="G106" s="16"/>
      <c r="H106" s="20"/>
      <c r="I106" s="20"/>
      <c r="J106" s="20"/>
      <c r="K106" s="20"/>
      <c r="L106" s="20"/>
      <c r="M106" s="20"/>
      <c r="N106" s="20"/>
      <c r="O106" s="20"/>
      <c r="P106" s="20"/>
      <c r="Q106" s="20"/>
      <c r="R106" s="20"/>
      <c r="S106" s="20"/>
      <c r="T106"/>
      <c r="U106"/>
      <c r="V106"/>
      <c r="W106"/>
      <c r="X106"/>
      <c r="Y106"/>
      <c r="Z106" s="16"/>
      <c r="AA106" s="16"/>
      <c r="AB106" s="55"/>
      <c r="AC106"/>
      <c r="AD106"/>
      <c r="AE106"/>
      <c r="AF106"/>
      <c r="AG106"/>
      <c r="AH106"/>
      <c r="AI106"/>
      <c r="AJ106"/>
      <c r="AK106"/>
      <c r="AL106"/>
      <c r="AM106"/>
      <c r="AN106"/>
      <c r="AO106"/>
      <c r="AP106"/>
      <c r="AQ106"/>
      <c r="AS106" s="55"/>
      <c r="AT106"/>
      <c r="AU106" s="41"/>
      <c r="AV106" s="16"/>
      <c r="AW106" s="16"/>
      <c r="AX106" s="16"/>
      <c r="AY106" s="16"/>
      <c r="AZ106" s="16"/>
      <c r="BA106" s="16"/>
      <c r="BB106" s="16"/>
      <c r="BC106" s="16"/>
      <c r="BD106" s="16"/>
      <c r="BE106" s="16"/>
      <c r="BF106" s="16"/>
      <c r="BG106" s="16"/>
      <c r="BH106" s="16"/>
      <c r="BI106"/>
      <c r="BJ106"/>
      <c r="BK106"/>
      <c r="BL106"/>
      <c r="BM106"/>
      <c r="BN106"/>
      <c r="BO106"/>
      <c r="BP106"/>
      <c r="BQ106" s="55"/>
      <c r="BR106"/>
      <c r="BS106"/>
      <c r="BT106"/>
      <c r="BU106"/>
      <c r="BV106"/>
      <c r="BW106"/>
      <c r="BX106"/>
      <c r="BY106"/>
      <c r="BZ106"/>
      <c r="CA106"/>
      <c r="CB106"/>
      <c r="CC106"/>
      <c r="CD106"/>
      <c r="CE106"/>
      <c r="CF106"/>
      <c r="CH106" s="55"/>
      <c r="CI106"/>
      <c r="CJ106" s="16"/>
      <c r="CK106" s="16"/>
      <c r="CL106" s="28"/>
      <c r="CM106" s="28"/>
      <c r="CN106" s="28"/>
      <c r="CO106" s="28"/>
      <c r="CP106" s="28"/>
      <c r="CQ106" s="28"/>
      <c r="CR106" s="28"/>
      <c r="CS106" s="28"/>
      <c r="CT106" s="28"/>
      <c r="CU106" s="28"/>
      <c r="CV106" s="28"/>
      <c r="CW106" s="28"/>
      <c r="CX106" s="28"/>
      <c r="CY106" s="28"/>
      <c r="CZ106" s="28"/>
      <c r="DA106" s="28"/>
      <c r="DB106" s="28"/>
      <c r="DC106" s="28"/>
      <c r="DD106" s="28"/>
      <c r="DF106" s="55"/>
      <c r="DX106" s="28"/>
    </row>
    <row r="107" spans="1:128" s="19" customFormat="1" ht="16" customHeight="1">
      <c r="A107" s="18"/>
      <c r="B107" s="17"/>
      <c r="C107" s="16"/>
      <c r="D107" s="16"/>
      <c r="E107" s="16"/>
      <c r="F107" s="16"/>
      <c r="G107" s="16"/>
      <c r="H107" s="20"/>
      <c r="I107" s="20"/>
      <c r="J107" s="20"/>
      <c r="K107" s="20"/>
      <c r="L107" s="20"/>
      <c r="M107" s="20"/>
      <c r="N107" s="20"/>
      <c r="O107" s="20"/>
      <c r="P107" s="20"/>
      <c r="Q107" s="20"/>
      <c r="R107" s="20"/>
      <c r="S107" s="20"/>
      <c r="T107"/>
      <c r="U107"/>
      <c r="V107"/>
      <c r="W107"/>
      <c r="X107"/>
      <c r="Y107"/>
      <c r="Z107" s="16"/>
      <c r="AA107" s="16"/>
      <c r="AB107" s="55"/>
      <c r="AC107"/>
      <c r="AD107"/>
      <c r="AE107"/>
      <c r="AF107"/>
      <c r="AG107"/>
      <c r="AH107"/>
      <c r="AI107"/>
      <c r="AJ107"/>
      <c r="AK107"/>
      <c r="AL107"/>
      <c r="AM107"/>
      <c r="AN107"/>
      <c r="AO107"/>
      <c r="AP107"/>
      <c r="AQ107"/>
      <c r="AS107" s="55"/>
      <c r="AT107"/>
      <c r="AU107" s="41"/>
      <c r="AV107" s="16"/>
      <c r="AW107" s="16"/>
      <c r="AX107" s="16"/>
      <c r="AY107" s="16"/>
      <c r="AZ107" s="16"/>
      <c r="BA107" s="16"/>
      <c r="BB107" s="16"/>
      <c r="BC107" s="16"/>
      <c r="BD107" s="16"/>
      <c r="BE107" s="16"/>
      <c r="BF107" s="16"/>
      <c r="BG107" s="16"/>
      <c r="BH107" s="16"/>
      <c r="BI107"/>
      <c r="BJ107"/>
      <c r="BK107"/>
      <c r="BL107"/>
      <c r="BM107"/>
      <c r="BN107"/>
      <c r="BO107"/>
      <c r="BP107"/>
      <c r="BQ107" s="55"/>
      <c r="BR107"/>
      <c r="BS107"/>
      <c r="BT107"/>
      <c r="BU107"/>
      <c r="BV107"/>
      <c r="BW107"/>
      <c r="BX107"/>
      <c r="BY107"/>
      <c r="BZ107"/>
      <c r="CA107"/>
      <c r="CB107"/>
      <c r="CC107"/>
      <c r="CD107"/>
      <c r="CE107"/>
      <c r="CF107"/>
      <c r="CH107" s="55"/>
      <c r="CI107"/>
      <c r="CJ107" s="16"/>
      <c r="CK107" s="16"/>
      <c r="CL107" s="28"/>
      <c r="CM107" s="28"/>
      <c r="CN107" s="28"/>
      <c r="CO107" s="28"/>
      <c r="CP107" s="28"/>
      <c r="CQ107" s="28"/>
      <c r="CR107" s="28"/>
      <c r="CS107" s="28"/>
      <c r="CT107" s="28"/>
      <c r="CU107" s="28"/>
      <c r="CV107" s="28"/>
      <c r="CW107" s="28"/>
      <c r="CX107" s="28"/>
      <c r="CY107" s="28"/>
      <c r="CZ107" s="28"/>
      <c r="DA107" s="28"/>
      <c r="DB107" s="28"/>
      <c r="DC107" s="28"/>
      <c r="DD107" s="28"/>
      <c r="DF107" s="55"/>
      <c r="DX107" s="28"/>
    </row>
    <row r="108" spans="1:128" s="19" customFormat="1" ht="16" customHeight="1">
      <c r="A108" s="18"/>
      <c r="B108" s="17"/>
      <c r="C108" s="16"/>
      <c r="D108" s="16"/>
      <c r="E108" s="16"/>
      <c r="F108" s="16"/>
      <c r="G108" s="16"/>
      <c r="H108" s="20"/>
      <c r="I108" s="20"/>
      <c r="J108" s="20"/>
      <c r="K108" s="20"/>
      <c r="L108" s="20"/>
      <c r="M108" s="20"/>
      <c r="N108" s="20"/>
      <c r="O108" s="20"/>
      <c r="P108" s="20"/>
      <c r="Q108" s="20"/>
      <c r="R108" s="20"/>
      <c r="S108" s="20"/>
      <c r="T108"/>
      <c r="U108"/>
      <c r="V108"/>
      <c r="W108"/>
      <c r="X108"/>
      <c r="Y108"/>
      <c r="Z108" s="16"/>
      <c r="AA108" s="16"/>
      <c r="AB108" s="55"/>
      <c r="AC108"/>
      <c r="AD108"/>
      <c r="AE108"/>
      <c r="AF108"/>
      <c r="AG108"/>
      <c r="AH108"/>
      <c r="AI108"/>
      <c r="AJ108"/>
      <c r="AK108"/>
      <c r="AL108"/>
      <c r="AM108"/>
      <c r="AN108"/>
      <c r="AO108"/>
      <c r="AP108"/>
      <c r="AQ108"/>
      <c r="AS108" s="55"/>
      <c r="AT108"/>
      <c r="AU108" s="41"/>
      <c r="AV108" s="16"/>
      <c r="AW108" s="16"/>
      <c r="AX108" s="16"/>
      <c r="AY108" s="16"/>
      <c r="AZ108" s="16"/>
      <c r="BA108" s="16"/>
      <c r="BB108" s="16"/>
      <c r="BC108" s="16"/>
      <c r="BD108" s="16"/>
      <c r="BE108" s="16"/>
      <c r="BF108" s="16"/>
      <c r="BG108" s="16"/>
      <c r="BH108" s="16"/>
      <c r="BI108"/>
      <c r="BJ108"/>
      <c r="BK108"/>
      <c r="BL108"/>
      <c r="BM108"/>
      <c r="BN108"/>
      <c r="BO108"/>
      <c r="BP108"/>
      <c r="BQ108" s="55"/>
      <c r="BR108"/>
      <c r="BS108"/>
      <c r="BT108"/>
      <c r="BU108"/>
      <c r="BV108"/>
      <c r="BW108"/>
      <c r="BX108"/>
      <c r="BY108"/>
      <c r="BZ108"/>
      <c r="CA108"/>
      <c r="CB108"/>
      <c r="CC108"/>
      <c r="CD108"/>
      <c r="CE108"/>
      <c r="CF108"/>
      <c r="CH108" s="55"/>
      <c r="CI108"/>
      <c r="CJ108" s="16"/>
      <c r="CK108" s="16"/>
      <c r="CL108" s="28"/>
      <c r="CM108" s="28"/>
      <c r="CN108" s="28"/>
      <c r="CO108" s="28"/>
      <c r="CP108" s="28"/>
      <c r="CQ108" s="28"/>
      <c r="CR108" s="28"/>
      <c r="CS108" s="28"/>
      <c r="CT108" s="28"/>
      <c r="CU108" s="28"/>
      <c r="CV108" s="28"/>
      <c r="CW108" s="28"/>
      <c r="CX108" s="28"/>
      <c r="CY108" s="28"/>
      <c r="CZ108" s="28"/>
      <c r="DA108" s="28"/>
      <c r="DB108" s="28"/>
      <c r="DC108" s="28"/>
      <c r="DD108" s="28"/>
      <c r="DF108" s="55"/>
      <c r="DX108" s="28"/>
    </row>
    <row r="109" spans="1:128" s="19" customFormat="1" ht="16" customHeight="1">
      <c r="A109" s="18"/>
      <c r="B109" s="17"/>
      <c r="C109" s="16"/>
      <c r="D109" s="16"/>
      <c r="E109" s="16"/>
      <c r="F109" s="16"/>
      <c r="G109" s="16"/>
      <c r="H109" s="20"/>
      <c r="I109" s="20"/>
      <c r="J109" s="20"/>
      <c r="K109" s="20"/>
      <c r="L109" s="20"/>
      <c r="M109" s="20"/>
      <c r="N109" s="20"/>
      <c r="O109" s="20"/>
      <c r="P109" s="20"/>
      <c r="Q109" s="20"/>
      <c r="R109" s="20"/>
      <c r="S109" s="20"/>
      <c r="T109"/>
      <c r="U109"/>
      <c r="V109"/>
      <c r="W109"/>
      <c r="X109"/>
      <c r="Y109"/>
      <c r="Z109" s="16"/>
      <c r="AA109" s="16"/>
      <c r="AB109" s="55"/>
      <c r="AC109"/>
      <c r="AD109"/>
      <c r="AE109"/>
      <c r="AF109"/>
      <c r="AG109"/>
      <c r="AH109"/>
      <c r="AI109"/>
      <c r="AJ109"/>
      <c r="AK109"/>
      <c r="AL109"/>
      <c r="AM109"/>
      <c r="AN109"/>
      <c r="AO109"/>
      <c r="AP109"/>
      <c r="AQ109"/>
      <c r="AS109" s="55"/>
      <c r="AT109"/>
      <c r="AU109" s="41"/>
      <c r="AV109" s="16"/>
      <c r="AW109" s="16"/>
      <c r="AX109" s="16"/>
      <c r="AY109" s="16"/>
      <c r="AZ109" s="16"/>
      <c r="BA109" s="16"/>
      <c r="BB109" s="16"/>
      <c r="BC109" s="16"/>
      <c r="BD109" s="16"/>
      <c r="BE109" s="16"/>
      <c r="BF109" s="16"/>
      <c r="BG109" s="16"/>
      <c r="BH109" s="16"/>
      <c r="BI109"/>
      <c r="BJ109"/>
      <c r="BK109"/>
      <c r="BL109"/>
      <c r="BM109"/>
      <c r="BN109"/>
      <c r="BO109"/>
      <c r="BP109"/>
      <c r="BQ109" s="55"/>
      <c r="BR109"/>
      <c r="BS109"/>
      <c r="BT109"/>
      <c r="BU109"/>
      <c r="BV109"/>
      <c r="BW109"/>
      <c r="BX109"/>
      <c r="BY109"/>
      <c r="BZ109"/>
      <c r="CA109"/>
      <c r="CB109"/>
      <c r="CC109"/>
      <c r="CD109"/>
      <c r="CE109"/>
      <c r="CF109"/>
      <c r="CH109" s="55"/>
      <c r="CI109"/>
      <c r="CJ109" s="16"/>
      <c r="CK109" s="16"/>
      <c r="CL109" s="28"/>
      <c r="CM109" s="28"/>
      <c r="CN109" s="28"/>
      <c r="CO109" s="28"/>
      <c r="CP109" s="28"/>
      <c r="CQ109" s="28"/>
      <c r="CR109" s="28"/>
      <c r="CS109" s="28"/>
      <c r="CT109" s="28"/>
      <c r="CU109" s="28"/>
      <c r="CV109" s="28"/>
      <c r="CW109" s="28"/>
      <c r="CX109" s="28"/>
      <c r="CY109" s="28"/>
      <c r="CZ109" s="28"/>
      <c r="DA109" s="28"/>
      <c r="DB109" s="28"/>
      <c r="DC109" s="28"/>
      <c r="DD109" s="28"/>
      <c r="DF109" s="55"/>
      <c r="DX109" s="28"/>
    </row>
    <row r="110" spans="1:128" s="19" customFormat="1" ht="16" customHeight="1">
      <c r="A110" s="18"/>
      <c r="B110" s="17"/>
      <c r="C110" s="16"/>
      <c r="D110" s="16"/>
      <c r="E110" s="16"/>
      <c r="F110" s="16"/>
      <c r="G110" s="16"/>
      <c r="H110" s="20"/>
      <c r="I110" s="20"/>
      <c r="J110" s="20"/>
      <c r="K110" s="20"/>
      <c r="L110" s="20"/>
      <c r="M110" s="20"/>
      <c r="N110" s="20"/>
      <c r="O110" s="20"/>
      <c r="P110" s="20"/>
      <c r="Q110" s="20"/>
      <c r="R110" s="20"/>
      <c r="S110" s="20"/>
      <c r="T110"/>
      <c r="U110"/>
      <c r="V110"/>
      <c r="W110"/>
      <c r="X110"/>
      <c r="Y110"/>
      <c r="Z110" s="16"/>
      <c r="AA110" s="16"/>
      <c r="AB110" s="55"/>
      <c r="AC110"/>
      <c r="AD110"/>
      <c r="AE110"/>
      <c r="AF110"/>
      <c r="AG110"/>
      <c r="AH110"/>
      <c r="AI110"/>
      <c r="AJ110"/>
      <c r="AK110"/>
      <c r="AL110"/>
      <c r="AM110"/>
      <c r="AN110"/>
      <c r="AO110"/>
      <c r="AP110"/>
      <c r="AQ110"/>
      <c r="AS110" s="55"/>
      <c r="AT110"/>
      <c r="AU110" s="41"/>
      <c r="AV110" s="16"/>
      <c r="AW110" s="16"/>
      <c r="AX110" s="16"/>
      <c r="AY110" s="16"/>
      <c r="AZ110" s="16"/>
      <c r="BA110" s="16"/>
      <c r="BB110" s="16"/>
      <c r="BC110" s="16"/>
      <c r="BD110" s="16"/>
      <c r="BE110" s="16"/>
      <c r="BF110" s="16"/>
      <c r="BG110" s="16"/>
      <c r="BH110" s="16"/>
      <c r="BI110"/>
      <c r="BJ110"/>
      <c r="BK110"/>
      <c r="BL110"/>
      <c r="BM110"/>
      <c r="BN110"/>
      <c r="BO110"/>
      <c r="BP110"/>
      <c r="BQ110" s="55"/>
      <c r="BR110"/>
      <c r="BS110"/>
      <c r="BT110"/>
      <c r="BU110"/>
      <c r="BV110"/>
      <c r="BW110"/>
      <c r="BX110"/>
      <c r="BY110"/>
      <c r="BZ110"/>
      <c r="CA110"/>
      <c r="CB110"/>
      <c r="CC110"/>
      <c r="CD110"/>
      <c r="CE110"/>
      <c r="CF110"/>
      <c r="CH110" s="55"/>
      <c r="CI110"/>
      <c r="CJ110" s="16"/>
      <c r="CK110" s="16"/>
      <c r="CL110" s="28"/>
      <c r="CM110" s="28"/>
      <c r="CN110" s="28"/>
      <c r="CO110" s="28"/>
      <c r="CP110" s="28"/>
      <c r="CQ110" s="28"/>
      <c r="CR110" s="28"/>
      <c r="CS110" s="28"/>
      <c r="CT110" s="28"/>
      <c r="CU110" s="28"/>
      <c r="CV110" s="28"/>
      <c r="CW110" s="28"/>
      <c r="CX110" s="28"/>
      <c r="CY110" s="28"/>
      <c r="CZ110" s="28"/>
      <c r="DA110" s="28"/>
      <c r="DB110" s="28"/>
      <c r="DC110" s="28"/>
      <c r="DD110" s="28"/>
      <c r="DF110" s="55"/>
      <c r="DX110" s="28"/>
    </row>
    <row r="111" spans="1:128" s="19" customFormat="1" ht="16" customHeight="1">
      <c r="A111" s="18"/>
      <c r="B111" s="17"/>
      <c r="C111" s="16"/>
      <c r="D111" s="16"/>
      <c r="E111" s="16"/>
      <c r="F111" s="16"/>
      <c r="G111" s="16"/>
      <c r="H111" s="20"/>
      <c r="I111" s="20"/>
      <c r="J111" s="20"/>
      <c r="K111" s="20"/>
      <c r="L111" s="20"/>
      <c r="M111" s="20"/>
      <c r="N111" s="20"/>
      <c r="O111" s="20"/>
      <c r="P111" s="20"/>
      <c r="Q111" s="20"/>
      <c r="R111" s="20"/>
      <c r="S111" s="20"/>
      <c r="T111"/>
      <c r="U111"/>
      <c r="V111"/>
      <c r="W111"/>
      <c r="X111"/>
      <c r="Y111"/>
      <c r="Z111" s="16"/>
      <c r="AA111" s="16"/>
      <c r="AB111" s="55"/>
      <c r="AC111"/>
      <c r="AD111"/>
      <c r="AE111"/>
      <c r="AF111"/>
      <c r="AG111"/>
      <c r="AH111"/>
      <c r="AI111"/>
      <c r="AJ111"/>
      <c r="AK111"/>
      <c r="AL111"/>
      <c r="AM111"/>
      <c r="AN111"/>
      <c r="AO111"/>
      <c r="AP111"/>
      <c r="AQ111"/>
      <c r="AS111" s="55"/>
      <c r="AT111"/>
      <c r="AU111" s="41"/>
      <c r="AV111" s="16"/>
      <c r="AW111" s="16"/>
      <c r="AX111" s="16"/>
      <c r="AY111" s="16"/>
      <c r="AZ111" s="16"/>
      <c r="BA111" s="16"/>
      <c r="BB111" s="16"/>
      <c r="BC111" s="16"/>
      <c r="BD111" s="16"/>
      <c r="BE111" s="16"/>
      <c r="BF111" s="16"/>
      <c r="BG111" s="16"/>
      <c r="BH111" s="16"/>
      <c r="BI111"/>
      <c r="BJ111"/>
      <c r="BK111"/>
      <c r="BL111"/>
      <c r="BM111"/>
      <c r="BN111"/>
      <c r="BO111"/>
      <c r="BP111"/>
      <c r="BQ111" s="55"/>
      <c r="BR111"/>
      <c r="BS111"/>
      <c r="BT111"/>
      <c r="BU111"/>
      <c r="BV111"/>
      <c r="BW111"/>
      <c r="BX111"/>
      <c r="BY111"/>
      <c r="BZ111"/>
      <c r="CA111"/>
      <c r="CB111"/>
      <c r="CC111"/>
      <c r="CD111"/>
      <c r="CE111"/>
      <c r="CF111"/>
      <c r="CH111" s="55"/>
      <c r="CI111"/>
      <c r="CJ111" s="16"/>
      <c r="CK111" s="16"/>
      <c r="CL111" s="28"/>
      <c r="CM111" s="28"/>
      <c r="CN111" s="28"/>
      <c r="CO111" s="28"/>
      <c r="CP111" s="28"/>
      <c r="CQ111" s="28"/>
      <c r="CR111" s="28"/>
      <c r="CS111" s="28"/>
      <c r="CT111" s="28"/>
      <c r="CU111" s="28"/>
      <c r="CV111" s="28"/>
      <c r="CW111" s="28"/>
      <c r="CX111" s="28"/>
      <c r="CY111" s="28"/>
      <c r="CZ111" s="28"/>
      <c r="DA111" s="28"/>
      <c r="DB111" s="28"/>
      <c r="DC111" s="28"/>
      <c r="DD111" s="28"/>
      <c r="DF111" s="55"/>
      <c r="DX111" s="28"/>
    </row>
    <row r="112" spans="1:128" s="19" customFormat="1" ht="16" customHeight="1">
      <c r="A112" s="18"/>
      <c r="B112" s="17"/>
      <c r="C112" s="16"/>
      <c r="D112" s="16"/>
      <c r="E112" s="16"/>
      <c r="F112" s="16"/>
      <c r="G112" s="16"/>
      <c r="H112" s="20"/>
      <c r="I112" s="20"/>
      <c r="J112" s="20"/>
      <c r="K112" s="20"/>
      <c r="L112" s="20"/>
      <c r="M112" s="20"/>
      <c r="N112" s="20"/>
      <c r="O112" s="20"/>
      <c r="P112" s="20"/>
      <c r="Q112" s="20"/>
      <c r="R112" s="20"/>
      <c r="S112" s="20"/>
      <c r="T112"/>
      <c r="U112"/>
      <c r="V112"/>
      <c r="W112"/>
      <c r="X112"/>
      <c r="Y112"/>
      <c r="Z112" s="16"/>
      <c r="AA112" s="16"/>
      <c r="AB112" s="55"/>
      <c r="AC112"/>
      <c r="AD112"/>
      <c r="AE112"/>
      <c r="AF112"/>
      <c r="AG112"/>
      <c r="AH112"/>
      <c r="AI112"/>
      <c r="AJ112"/>
      <c r="AK112"/>
      <c r="AL112"/>
      <c r="AM112"/>
      <c r="AN112"/>
      <c r="AO112"/>
      <c r="AP112"/>
      <c r="AQ112"/>
      <c r="AS112" s="55"/>
      <c r="AT112"/>
      <c r="AU112" s="41"/>
      <c r="AV112" s="16"/>
      <c r="AW112" s="16"/>
      <c r="AX112" s="16"/>
      <c r="AY112" s="16"/>
      <c r="AZ112" s="16"/>
      <c r="BA112" s="16"/>
      <c r="BB112" s="16"/>
      <c r="BC112" s="16"/>
      <c r="BD112" s="16"/>
      <c r="BE112" s="16"/>
      <c r="BF112" s="16"/>
      <c r="BG112" s="16"/>
      <c r="BH112" s="16"/>
      <c r="BI112"/>
      <c r="BJ112"/>
      <c r="BK112"/>
      <c r="BL112"/>
      <c r="BM112"/>
      <c r="BN112"/>
      <c r="BO112"/>
      <c r="BP112"/>
      <c r="BQ112" s="55"/>
      <c r="BR112"/>
      <c r="BS112"/>
      <c r="BT112"/>
      <c r="BU112"/>
      <c r="BV112"/>
      <c r="BW112"/>
      <c r="BX112"/>
      <c r="BY112"/>
      <c r="BZ112"/>
      <c r="CA112"/>
      <c r="CB112"/>
      <c r="CC112"/>
      <c r="CD112"/>
      <c r="CE112"/>
      <c r="CF112"/>
      <c r="CH112" s="55"/>
      <c r="CI112"/>
      <c r="CJ112" s="16"/>
      <c r="CK112" s="16"/>
      <c r="CL112" s="28"/>
      <c r="CM112" s="28"/>
      <c r="CN112" s="28"/>
      <c r="CO112" s="28"/>
      <c r="CP112" s="28"/>
      <c r="CQ112" s="28"/>
      <c r="CR112" s="28"/>
      <c r="CS112" s="28"/>
      <c r="CT112" s="28"/>
      <c r="CU112" s="28"/>
      <c r="CV112" s="28"/>
      <c r="CW112" s="28"/>
      <c r="CX112" s="28"/>
      <c r="CY112" s="28"/>
      <c r="CZ112" s="28"/>
      <c r="DA112" s="28"/>
      <c r="DB112" s="28"/>
      <c r="DC112" s="28"/>
      <c r="DD112" s="28"/>
      <c r="DF112" s="55"/>
      <c r="DX112" s="28"/>
    </row>
    <row r="113" spans="1:128" s="19" customFormat="1" ht="16" customHeight="1">
      <c r="A113" s="18"/>
      <c r="B113" s="17"/>
      <c r="C113" s="16"/>
      <c r="D113" s="16"/>
      <c r="E113" s="16"/>
      <c r="F113" s="16"/>
      <c r="G113" s="16"/>
      <c r="H113" s="20"/>
      <c r="I113" s="20"/>
      <c r="J113" s="20"/>
      <c r="K113" s="20"/>
      <c r="L113" s="20"/>
      <c r="M113" s="20"/>
      <c r="N113" s="20"/>
      <c r="O113" s="20"/>
      <c r="P113" s="20"/>
      <c r="Q113" s="20"/>
      <c r="R113" s="20"/>
      <c r="S113" s="20"/>
      <c r="T113"/>
      <c r="U113"/>
      <c r="V113"/>
      <c r="W113"/>
      <c r="X113"/>
      <c r="Y113"/>
      <c r="Z113" s="16"/>
      <c r="AA113" s="16"/>
      <c r="AB113" s="55"/>
      <c r="AC113"/>
      <c r="AD113"/>
      <c r="AE113"/>
      <c r="AF113"/>
      <c r="AG113"/>
      <c r="AH113"/>
      <c r="AI113"/>
      <c r="AJ113"/>
      <c r="AK113"/>
      <c r="AL113"/>
      <c r="AM113"/>
      <c r="AN113"/>
      <c r="AO113"/>
      <c r="AP113"/>
      <c r="AQ113"/>
      <c r="AS113" s="55"/>
      <c r="AT113"/>
      <c r="AU113" s="41"/>
      <c r="AV113" s="16"/>
      <c r="AW113" s="16"/>
      <c r="AX113" s="16"/>
      <c r="AY113" s="16"/>
      <c r="AZ113" s="16"/>
      <c r="BA113" s="16"/>
      <c r="BB113" s="16"/>
      <c r="BC113" s="16"/>
      <c r="BD113" s="16"/>
      <c r="BE113" s="16"/>
      <c r="BF113" s="16"/>
      <c r="BG113" s="16"/>
      <c r="BH113" s="16"/>
      <c r="BI113"/>
      <c r="BJ113"/>
      <c r="BK113"/>
      <c r="BL113"/>
      <c r="BM113"/>
      <c r="BN113"/>
      <c r="BO113"/>
      <c r="BP113"/>
      <c r="BQ113" s="55"/>
      <c r="BR113"/>
      <c r="BS113"/>
      <c r="BT113"/>
      <c r="BU113"/>
      <c r="BV113"/>
      <c r="BW113"/>
      <c r="BX113"/>
      <c r="BY113"/>
      <c r="BZ113"/>
      <c r="CA113"/>
      <c r="CB113"/>
      <c r="CC113"/>
      <c r="CD113"/>
      <c r="CE113"/>
      <c r="CF113"/>
      <c r="CH113" s="55"/>
      <c r="CI113"/>
      <c r="CJ113" s="16"/>
      <c r="CK113" s="16"/>
      <c r="CL113" s="28"/>
      <c r="CM113" s="28"/>
      <c r="CN113" s="28"/>
      <c r="CO113" s="28"/>
      <c r="CP113" s="28"/>
      <c r="CQ113" s="28"/>
      <c r="CR113" s="28"/>
      <c r="CS113" s="28"/>
      <c r="CT113" s="28"/>
      <c r="CU113" s="28"/>
      <c r="CV113" s="28"/>
      <c r="CW113" s="28"/>
      <c r="CX113" s="28"/>
      <c r="CY113" s="28"/>
      <c r="CZ113" s="28"/>
      <c r="DA113" s="28"/>
      <c r="DB113" s="28"/>
      <c r="DC113" s="28"/>
      <c r="DD113" s="28"/>
      <c r="DF113" s="55"/>
      <c r="DX113" s="28"/>
    </row>
    <row r="114" spans="1:128" s="19" customFormat="1" ht="16" customHeight="1">
      <c r="A114" s="18"/>
      <c r="B114" s="17"/>
      <c r="C114" s="16"/>
      <c r="D114" s="16"/>
      <c r="E114" s="16"/>
      <c r="F114" s="16"/>
      <c r="G114" s="16"/>
      <c r="H114" s="20"/>
      <c r="I114" s="20"/>
      <c r="J114" s="20"/>
      <c r="K114" s="20"/>
      <c r="L114" s="20"/>
      <c r="M114" s="20"/>
      <c r="N114" s="20"/>
      <c r="O114" s="20"/>
      <c r="P114" s="20"/>
      <c r="Q114" s="20"/>
      <c r="R114" s="20"/>
      <c r="S114" s="20"/>
      <c r="T114"/>
      <c r="U114"/>
      <c r="V114"/>
      <c r="W114"/>
      <c r="X114"/>
      <c r="Y114"/>
      <c r="Z114" s="16"/>
      <c r="AA114" s="16"/>
      <c r="AB114" s="55"/>
      <c r="AC114"/>
      <c r="AD114"/>
      <c r="AE114"/>
      <c r="AF114"/>
      <c r="AG114"/>
      <c r="AH114"/>
      <c r="AI114"/>
      <c r="AJ114"/>
      <c r="AK114"/>
      <c r="AL114"/>
      <c r="AM114"/>
      <c r="AN114"/>
      <c r="AO114"/>
      <c r="AP114"/>
      <c r="AQ114"/>
      <c r="AS114" s="55"/>
      <c r="AT114"/>
      <c r="AU114" s="41"/>
      <c r="AV114" s="16"/>
      <c r="AW114" s="16"/>
      <c r="AX114" s="16"/>
      <c r="AY114" s="16"/>
      <c r="AZ114" s="16"/>
      <c r="BA114" s="16"/>
      <c r="BB114" s="16"/>
      <c r="BC114" s="16"/>
      <c r="BD114" s="16"/>
      <c r="BE114" s="16"/>
      <c r="BF114" s="16"/>
      <c r="BG114" s="16"/>
      <c r="BH114" s="16"/>
      <c r="BI114"/>
      <c r="BJ114"/>
      <c r="BK114"/>
      <c r="BL114"/>
      <c r="BM114"/>
      <c r="BN114"/>
      <c r="BO114"/>
      <c r="BP114"/>
      <c r="BQ114" s="55"/>
      <c r="BR114"/>
      <c r="BS114"/>
      <c r="BT114"/>
      <c r="BU114"/>
      <c r="BV114"/>
      <c r="BW114"/>
      <c r="BX114"/>
      <c r="BY114"/>
      <c r="BZ114"/>
      <c r="CA114"/>
      <c r="CB114"/>
      <c r="CC114"/>
      <c r="CD114"/>
      <c r="CE114"/>
      <c r="CF114"/>
      <c r="CH114" s="55"/>
      <c r="CI114"/>
      <c r="CJ114" s="16"/>
      <c r="CK114" s="16"/>
      <c r="CL114" s="28"/>
      <c r="CM114" s="28"/>
      <c r="CN114" s="28"/>
      <c r="CO114" s="28"/>
      <c r="CP114" s="28"/>
      <c r="CQ114" s="28"/>
      <c r="CR114" s="28"/>
      <c r="CS114" s="28"/>
      <c r="CT114" s="28"/>
      <c r="CU114" s="28"/>
      <c r="CV114" s="28"/>
      <c r="CW114" s="28"/>
      <c r="CX114" s="28"/>
      <c r="CY114" s="28"/>
      <c r="CZ114" s="28"/>
      <c r="DA114" s="28"/>
      <c r="DB114" s="28"/>
      <c r="DC114" s="28"/>
      <c r="DD114" s="28"/>
      <c r="DF114" s="55"/>
      <c r="DX114" s="28"/>
    </row>
    <row r="115" spans="1:128" s="19" customFormat="1" ht="16" customHeight="1">
      <c r="A115" s="18"/>
      <c r="B115" s="17"/>
      <c r="C115" s="16"/>
      <c r="D115" s="16"/>
      <c r="E115" s="16"/>
      <c r="F115" s="16"/>
      <c r="G115" s="16"/>
      <c r="H115" s="20"/>
      <c r="I115" s="20"/>
      <c r="J115" s="20"/>
      <c r="K115" s="20"/>
      <c r="L115" s="20"/>
      <c r="M115" s="20"/>
      <c r="N115" s="20"/>
      <c r="O115" s="20"/>
      <c r="P115" s="20"/>
      <c r="Q115" s="20"/>
      <c r="R115" s="20"/>
      <c r="S115" s="20"/>
      <c r="T115"/>
      <c r="U115"/>
      <c r="V115"/>
      <c r="W115"/>
      <c r="X115"/>
      <c r="Y115"/>
      <c r="Z115" s="16"/>
      <c r="AA115" s="16"/>
      <c r="AB115" s="55"/>
      <c r="AC115"/>
      <c r="AD115"/>
      <c r="AE115"/>
      <c r="AF115"/>
      <c r="AG115"/>
      <c r="AH115"/>
      <c r="AI115"/>
      <c r="AJ115"/>
      <c r="AK115"/>
      <c r="AL115"/>
      <c r="AM115"/>
      <c r="AN115"/>
      <c r="AO115"/>
      <c r="AP115"/>
      <c r="AQ115"/>
      <c r="AS115" s="55"/>
      <c r="AT115"/>
      <c r="AU115" s="41"/>
      <c r="AV115" s="16"/>
      <c r="AW115" s="16"/>
      <c r="AX115" s="16"/>
      <c r="AY115" s="16"/>
      <c r="AZ115" s="16"/>
      <c r="BA115" s="16"/>
      <c r="BB115" s="16"/>
      <c r="BC115" s="16"/>
      <c r="BD115" s="16"/>
      <c r="BE115" s="16"/>
      <c r="BF115" s="16"/>
      <c r="BG115" s="16"/>
      <c r="BH115" s="16"/>
      <c r="BI115"/>
      <c r="BJ115"/>
      <c r="BK115"/>
      <c r="BL115"/>
      <c r="BM115"/>
      <c r="BN115"/>
      <c r="BO115"/>
      <c r="BP115"/>
      <c r="BQ115" s="55"/>
      <c r="BR115"/>
      <c r="BS115"/>
      <c r="BT115"/>
      <c r="BU115"/>
      <c r="BV115"/>
      <c r="BW115"/>
      <c r="BX115"/>
      <c r="BY115"/>
      <c r="BZ115"/>
      <c r="CA115"/>
      <c r="CB115"/>
      <c r="CC115"/>
      <c r="CD115"/>
      <c r="CE115"/>
      <c r="CF115"/>
      <c r="CH115" s="55"/>
      <c r="CI115"/>
      <c r="CJ115" s="16"/>
      <c r="CK115" s="16"/>
      <c r="CL115" s="28"/>
      <c r="CM115" s="28"/>
      <c r="CN115" s="28"/>
      <c r="CO115" s="28"/>
      <c r="CP115" s="28"/>
      <c r="CQ115" s="28"/>
      <c r="CR115" s="28"/>
      <c r="CS115" s="28"/>
      <c r="CT115" s="28"/>
      <c r="CU115" s="28"/>
      <c r="CV115" s="28"/>
      <c r="CW115" s="28"/>
      <c r="CX115" s="28"/>
      <c r="CY115" s="28"/>
      <c r="CZ115" s="28"/>
      <c r="DA115" s="28"/>
      <c r="DB115" s="28"/>
      <c r="DC115" s="28"/>
      <c r="DD115" s="28"/>
      <c r="DF115" s="55"/>
      <c r="DX115" s="28"/>
    </row>
    <row r="116" spans="1:128" s="19" customFormat="1" ht="16" customHeight="1">
      <c r="A116" s="18"/>
      <c r="B116" s="17"/>
      <c r="C116" s="16"/>
      <c r="D116" s="16"/>
      <c r="E116" s="16"/>
      <c r="F116" s="16"/>
      <c r="G116" s="16"/>
      <c r="H116" s="20"/>
      <c r="I116" s="20"/>
      <c r="J116" s="20"/>
      <c r="K116" s="20"/>
      <c r="L116" s="20"/>
      <c r="M116" s="20"/>
      <c r="N116" s="20"/>
      <c r="O116" s="20"/>
      <c r="P116" s="20"/>
      <c r="Q116" s="20"/>
      <c r="R116" s="20"/>
      <c r="S116" s="20"/>
      <c r="T116"/>
      <c r="U116"/>
      <c r="V116"/>
      <c r="W116"/>
      <c r="X116"/>
      <c r="Y116"/>
      <c r="Z116" s="16"/>
      <c r="AA116" s="16"/>
      <c r="AB116" s="55"/>
      <c r="AC116"/>
      <c r="AD116"/>
      <c r="AE116"/>
      <c r="AF116"/>
      <c r="AG116"/>
      <c r="AH116"/>
      <c r="AI116"/>
      <c r="AJ116"/>
      <c r="AK116"/>
      <c r="AL116"/>
      <c r="AM116"/>
      <c r="AN116"/>
      <c r="AO116"/>
      <c r="AP116"/>
      <c r="AQ116"/>
      <c r="AS116" s="55"/>
      <c r="AT116"/>
      <c r="AU116" s="41"/>
      <c r="AV116" s="16"/>
      <c r="AW116" s="16"/>
      <c r="AX116" s="16"/>
      <c r="AY116" s="16"/>
      <c r="AZ116" s="16"/>
      <c r="BA116" s="16"/>
      <c r="BB116" s="16"/>
      <c r="BC116" s="16"/>
      <c r="BD116" s="16"/>
      <c r="BE116" s="16"/>
      <c r="BF116" s="16"/>
      <c r="BG116" s="16"/>
      <c r="BH116" s="16"/>
      <c r="BI116"/>
      <c r="BJ116"/>
      <c r="BK116"/>
      <c r="BL116"/>
      <c r="BM116"/>
      <c r="BN116"/>
      <c r="BO116"/>
      <c r="BP116"/>
      <c r="BQ116" s="55"/>
      <c r="BR116"/>
      <c r="BS116"/>
      <c r="BT116"/>
      <c r="BU116"/>
      <c r="BV116"/>
      <c r="BW116"/>
      <c r="BX116"/>
      <c r="BY116"/>
      <c r="BZ116"/>
      <c r="CA116"/>
      <c r="CB116"/>
      <c r="CC116"/>
      <c r="CD116"/>
      <c r="CE116"/>
      <c r="CF116"/>
      <c r="CH116" s="55"/>
      <c r="CI116"/>
      <c r="CJ116" s="16"/>
      <c r="CK116" s="16"/>
      <c r="CL116" s="28"/>
      <c r="CM116" s="28"/>
      <c r="CN116" s="28"/>
      <c r="CO116" s="28"/>
      <c r="CP116" s="28"/>
      <c r="CQ116" s="28"/>
      <c r="CR116" s="28"/>
      <c r="CS116" s="28"/>
      <c r="CT116" s="28"/>
      <c r="CU116" s="28"/>
      <c r="CV116" s="28"/>
      <c r="CW116" s="28"/>
      <c r="CX116" s="28"/>
      <c r="CY116" s="28"/>
      <c r="CZ116" s="28"/>
      <c r="DA116" s="28"/>
      <c r="DB116" s="28"/>
      <c r="DC116" s="28"/>
      <c r="DD116" s="28"/>
      <c r="DF116" s="55"/>
      <c r="DX116" s="28"/>
    </row>
    <row r="117" spans="1:128" s="19" customFormat="1" ht="16" customHeight="1">
      <c r="A117" s="18"/>
      <c r="B117" s="17"/>
      <c r="C117" s="16"/>
      <c r="D117" s="16"/>
      <c r="E117" s="16"/>
      <c r="F117" s="16"/>
      <c r="G117" s="16"/>
      <c r="H117" s="20"/>
      <c r="I117" s="20"/>
      <c r="J117" s="20"/>
      <c r="K117" s="20"/>
      <c r="L117" s="20"/>
      <c r="M117" s="20"/>
      <c r="N117" s="20"/>
      <c r="O117" s="20"/>
      <c r="P117" s="20"/>
      <c r="Q117" s="20"/>
      <c r="R117" s="20"/>
      <c r="S117" s="20"/>
      <c r="T117"/>
      <c r="U117"/>
      <c r="V117"/>
      <c r="W117"/>
      <c r="X117"/>
      <c r="Y117"/>
      <c r="Z117" s="16"/>
      <c r="AA117" s="16"/>
      <c r="AB117" s="55"/>
      <c r="AC117"/>
      <c r="AD117"/>
      <c r="AE117"/>
      <c r="AF117"/>
      <c r="AG117"/>
      <c r="AH117"/>
      <c r="AI117"/>
      <c r="AJ117"/>
      <c r="AK117"/>
      <c r="AL117"/>
      <c r="AM117"/>
      <c r="AN117"/>
      <c r="AO117"/>
      <c r="AP117"/>
      <c r="AQ117"/>
      <c r="AS117" s="55"/>
      <c r="AT117"/>
      <c r="AU117" s="41"/>
      <c r="AV117" s="16"/>
      <c r="AW117" s="16"/>
      <c r="AX117" s="16"/>
      <c r="AY117" s="16"/>
      <c r="AZ117" s="16"/>
      <c r="BA117" s="16"/>
      <c r="BB117" s="16"/>
      <c r="BC117" s="16"/>
      <c r="BD117" s="16"/>
      <c r="BE117" s="16"/>
      <c r="BF117" s="16"/>
      <c r="BG117" s="16"/>
      <c r="BH117" s="16"/>
      <c r="BI117"/>
      <c r="BJ117"/>
      <c r="BK117"/>
      <c r="BL117"/>
      <c r="BM117"/>
      <c r="BN117"/>
      <c r="BO117"/>
      <c r="BP117"/>
      <c r="BQ117" s="55"/>
      <c r="BR117"/>
      <c r="BS117"/>
      <c r="BT117"/>
      <c r="BU117"/>
      <c r="BV117"/>
      <c r="BW117"/>
      <c r="BX117"/>
      <c r="BY117"/>
      <c r="BZ117"/>
      <c r="CA117"/>
      <c r="CB117"/>
      <c r="CC117"/>
      <c r="CD117"/>
      <c r="CE117"/>
      <c r="CF117"/>
      <c r="CH117" s="55"/>
      <c r="CI117"/>
      <c r="CJ117" s="16"/>
      <c r="CK117" s="16"/>
      <c r="CL117" s="28"/>
      <c r="CM117" s="28"/>
      <c r="CN117" s="28"/>
      <c r="CO117" s="28"/>
      <c r="CP117" s="28"/>
      <c r="CQ117" s="28"/>
      <c r="CR117" s="28"/>
      <c r="CS117" s="28"/>
      <c r="CT117" s="28"/>
      <c r="CU117" s="28"/>
      <c r="CV117" s="28"/>
      <c r="CW117" s="28"/>
      <c r="CX117" s="28"/>
      <c r="CY117" s="28"/>
      <c r="CZ117" s="28"/>
      <c r="DA117" s="28"/>
      <c r="DB117" s="28"/>
      <c r="DC117" s="28"/>
      <c r="DD117" s="28"/>
      <c r="DF117" s="55"/>
      <c r="DX117" s="28"/>
    </row>
    <row r="118" spans="1:128" s="19" customFormat="1" ht="16" customHeight="1">
      <c r="A118" s="18"/>
      <c r="B118" s="17"/>
      <c r="C118" s="16"/>
      <c r="D118" s="16"/>
      <c r="E118" s="16"/>
      <c r="F118" s="16"/>
      <c r="G118" s="16"/>
      <c r="H118" s="20"/>
      <c r="I118" s="20"/>
      <c r="J118" s="20"/>
      <c r="K118" s="20"/>
      <c r="L118" s="20"/>
      <c r="M118" s="20"/>
      <c r="N118" s="20"/>
      <c r="O118" s="20"/>
      <c r="P118" s="20"/>
      <c r="Q118" s="20"/>
      <c r="R118" s="20"/>
      <c r="S118" s="20"/>
      <c r="T118"/>
      <c r="U118"/>
      <c r="V118"/>
      <c r="W118"/>
      <c r="X118"/>
      <c r="Y118"/>
      <c r="Z118" s="16"/>
      <c r="AA118" s="16"/>
      <c r="AB118" s="55"/>
      <c r="AC118"/>
      <c r="AD118"/>
      <c r="AE118"/>
      <c r="AF118"/>
      <c r="AG118"/>
      <c r="AH118"/>
      <c r="AI118"/>
      <c r="AJ118"/>
      <c r="AK118"/>
      <c r="AL118"/>
      <c r="AM118"/>
      <c r="AN118"/>
      <c r="AO118"/>
      <c r="AP118"/>
      <c r="AQ118"/>
      <c r="AS118" s="55"/>
      <c r="AT118"/>
      <c r="AU118" s="41"/>
      <c r="AV118" s="16"/>
      <c r="AW118" s="16"/>
      <c r="AX118" s="16"/>
      <c r="AY118" s="16"/>
      <c r="AZ118" s="16"/>
      <c r="BA118" s="16"/>
      <c r="BB118" s="16"/>
      <c r="BC118" s="16"/>
      <c r="BD118" s="16"/>
      <c r="BE118" s="16"/>
      <c r="BF118" s="16"/>
      <c r="BG118" s="16"/>
      <c r="BH118" s="16"/>
      <c r="BI118"/>
      <c r="BJ118"/>
      <c r="BK118"/>
      <c r="BL118"/>
      <c r="BM118"/>
      <c r="BN118"/>
      <c r="BO118"/>
      <c r="BP118"/>
      <c r="BQ118" s="55"/>
      <c r="BR118"/>
      <c r="BS118"/>
      <c r="BT118"/>
      <c r="BU118"/>
      <c r="BV118"/>
      <c r="BW118"/>
      <c r="BX118"/>
      <c r="BY118"/>
      <c r="BZ118"/>
      <c r="CA118"/>
      <c r="CB118"/>
      <c r="CC118"/>
      <c r="CD118"/>
      <c r="CE118"/>
      <c r="CF118"/>
      <c r="CH118" s="55"/>
      <c r="CI118"/>
      <c r="CJ118" s="16"/>
      <c r="CK118" s="16"/>
      <c r="CL118" s="28"/>
      <c r="CM118" s="28"/>
      <c r="CN118" s="28"/>
      <c r="CO118" s="28"/>
      <c r="CP118" s="28"/>
      <c r="CQ118" s="28"/>
      <c r="CR118" s="28"/>
      <c r="CS118" s="28"/>
      <c r="CT118" s="28"/>
      <c r="CU118" s="28"/>
      <c r="CV118" s="28"/>
      <c r="CW118" s="28"/>
      <c r="CX118" s="28"/>
      <c r="CY118" s="28"/>
      <c r="CZ118" s="28"/>
      <c r="DA118" s="28"/>
      <c r="DB118" s="28"/>
      <c r="DC118" s="28"/>
      <c r="DD118" s="28"/>
      <c r="DF118" s="55"/>
      <c r="DX118" s="28"/>
    </row>
    <row r="119" spans="1:128" s="19" customFormat="1" ht="16" customHeight="1">
      <c r="A119" s="18"/>
      <c r="B119" s="17"/>
      <c r="C119" s="16"/>
      <c r="D119" s="16"/>
      <c r="E119" s="16"/>
      <c r="F119" s="16"/>
      <c r="G119" s="16"/>
      <c r="H119" s="20"/>
      <c r="I119" s="20"/>
      <c r="J119" s="20"/>
      <c r="K119" s="20"/>
      <c r="L119" s="20"/>
      <c r="M119" s="20"/>
      <c r="N119" s="20"/>
      <c r="O119" s="20"/>
      <c r="P119" s="20"/>
      <c r="Q119" s="20"/>
      <c r="R119" s="20"/>
      <c r="S119" s="20"/>
      <c r="T119"/>
      <c r="U119"/>
      <c r="V119"/>
      <c r="W119"/>
      <c r="X119"/>
      <c r="Y119"/>
      <c r="Z119" s="16"/>
      <c r="AA119" s="16"/>
      <c r="AB119" s="55"/>
      <c r="AC119"/>
      <c r="AD119"/>
      <c r="AE119"/>
      <c r="AF119"/>
      <c r="AG119"/>
      <c r="AH119"/>
      <c r="AI119"/>
      <c r="AJ119"/>
      <c r="AK119"/>
      <c r="AL119"/>
      <c r="AM119"/>
      <c r="AN119"/>
      <c r="AO119"/>
      <c r="AP119"/>
      <c r="AQ119"/>
      <c r="AS119" s="55"/>
      <c r="AT119"/>
      <c r="AU119" s="41"/>
      <c r="AV119" s="16"/>
      <c r="AW119" s="16"/>
      <c r="AX119" s="16"/>
      <c r="AY119" s="16"/>
      <c r="AZ119" s="16"/>
      <c r="BA119" s="16"/>
      <c r="BB119" s="16"/>
      <c r="BC119" s="16"/>
      <c r="BD119" s="16"/>
      <c r="BE119" s="16"/>
      <c r="BF119" s="16"/>
      <c r="BG119" s="16"/>
      <c r="BH119" s="16"/>
      <c r="BI119"/>
      <c r="BJ119"/>
      <c r="BK119"/>
      <c r="BL119"/>
      <c r="BM119"/>
      <c r="BN119"/>
      <c r="BO119"/>
      <c r="BP119"/>
      <c r="BQ119" s="55"/>
      <c r="BR119"/>
      <c r="BS119"/>
      <c r="BT119"/>
      <c r="BU119"/>
      <c r="BV119"/>
      <c r="BW119"/>
      <c r="BX119"/>
      <c r="BY119"/>
      <c r="BZ119"/>
      <c r="CA119"/>
      <c r="CB119"/>
      <c r="CC119"/>
      <c r="CD119"/>
      <c r="CE119"/>
      <c r="CF119"/>
      <c r="CH119" s="55"/>
      <c r="CI119"/>
      <c r="CJ119" s="16"/>
      <c r="CK119" s="16"/>
      <c r="CL119" s="28"/>
      <c r="CM119" s="28"/>
      <c r="CN119" s="28"/>
      <c r="CO119" s="28"/>
      <c r="CP119" s="28"/>
      <c r="CQ119" s="28"/>
      <c r="CR119" s="28"/>
      <c r="CS119" s="28"/>
      <c r="CT119" s="28"/>
      <c r="CU119" s="28"/>
      <c r="CV119" s="28"/>
      <c r="CW119" s="28"/>
      <c r="CX119" s="28"/>
      <c r="CY119" s="28"/>
      <c r="CZ119" s="28"/>
      <c r="DA119" s="28"/>
      <c r="DB119" s="28"/>
      <c r="DC119" s="28"/>
      <c r="DD119" s="28"/>
      <c r="DF119" s="55"/>
      <c r="DX119" s="28"/>
    </row>
    <row r="120" spans="1:128" s="19" customFormat="1" ht="16" customHeight="1">
      <c r="A120" s="18"/>
      <c r="B120" s="17"/>
      <c r="C120" s="16"/>
      <c r="D120" s="16"/>
      <c r="E120" s="16"/>
      <c r="F120" s="16"/>
      <c r="G120" s="16"/>
      <c r="H120" s="20"/>
      <c r="I120" s="20"/>
      <c r="J120" s="20"/>
      <c r="K120" s="20"/>
      <c r="L120" s="20"/>
      <c r="M120" s="20"/>
      <c r="N120" s="20"/>
      <c r="O120" s="20"/>
      <c r="P120" s="20"/>
      <c r="Q120" s="20"/>
      <c r="R120" s="20"/>
      <c r="S120" s="20"/>
      <c r="T120"/>
      <c r="U120"/>
      <c r="V120"/>
      <c r="W120"/>
      <c r="X120"/>
      <c r="Y120"/>
      <c r="Z120" s="16"/>
      <c r="AA120" s="16"/>
      <c r="AB120" s="55"/>
      <c r="AC120"/>
      <c r="AD120"/>
      <c r="AE120"/>
      <c r="AF120"/>
      <c r="AG120"/>
      <c r="AH120"/>
      <c r="AI120"/>
      <c r="AJ120"/>
      <c r="AK120"/>
      <c r="AL120"/>
      <c r="AM120"/>
      <c r="AN120"/>
      <c r="AO120"/>
      <c r="AP120"/>
      <c r="AQ120"/>
      <c r="AS120" s="55"/>
      <c r="AT120"/>
      <c r="AU120" s="41"/>
      <c r="AV120" s="16"/>
      <c r="AW120" s="16"/>
      <c r="AX120" s="16"/>
      <c r="AY120" s="16"/>
      <c r="AZ120" s="16"/>
      <c r="BA120" s="16"/>
      <c r="BB120" s="16"/>
      <c r="BC120" s="16"/>
      <c r="BD120" s="16"/>
      <c r="BE120" s="16"/>
      <c r="BF120" s="16"/>
      <c r="BG120" s="16"/>
      <c r="BH120" s="16"/>
      <c r="BI120"/>
      <c r="BJ120"/>
      <c r="BK120"/>
      <c r="BL120"/>
      <c r="BM120"/>
      <c r="BN120"/>
      <c r="BO120"/>
      <c r="BP120"/>
      <c r="BQ120" s="55"/>
      <c r="BR120"/>
      <c r="BS120"/>
      <c r="BT120"/>
      <c r="BU120"/>
      <c r="BV120"/>
      <c r="BW120"/>
      <c r="BX120"/>
      <c r="BY120"/>
      <c r="BZ120"/>
      <c r="CA120"/>
      <c r="CB120"/>
      <c r="CC120"/>
      <c r="CD120"/>
      <c r="CE120"/>
      <c r="CF120"/>
      <c r="CH120" s="55"/>
      <c r="CI120"/>
      <c r="CJ120" s="16"/>
      <c r="CK120" s="16"/>
      <c r="CL120" s="28"/>
      <c r="CM120" s="28"/>
      <c r="CN120" s="28"/>
      <c r="CO120" s="28"/>
      <c r="CP120" s="28"/>
      <c r="CQ120" s="28"/>
      <c r="CR120" s="28"/>
      <c r="CS120" s="28"/>
      <c r="CT120" s="28"/>
      <c r="CU120" s="28"/>
      <c r="CV120" s="28"/>
      <c r="CW120" s="28"/>
      <c r="CX120" s="28"/>
      <c r="CY120" s="28"/>
      <c r="CZ120" s="28"/>
      <c r="DA120" s="28"/>
      <c r="DB120" s="28"/>
      <c r="DC120" s="28"/>
      <c r="DD120" s="28"/>
      <c r="DF120" s="55"/>
      <c r="DX120" s="28"/>
    </row>
    <row r="121" spans="1:128" s="19" customFormat="1" ht="16" customHeight="1">
      <c r="A121" s="18"/>
      <c r="B121" s="17"/>
      <c r="C121" s="16"/>
      <c r="D121" s="16"/>
      <c r="E121" s="16"/>
      <c r="F121" s="16"/>
      <c r="G121" s="16"/>
      <c r="H121" s="20"/>
      <c r="I121" s="20"/>
      <c r="J121" s="20"/>
      <c r="K121" s="20"/>
      <c r="L121" s="20"/>
      <c r="M121" s="20"/>
      <c r="N121" s="20"/>
      <c r="O121" s="20"/>
      <c r="P121" s="20"/>
      <c r="Q121" s="20"/>
      <c r="R121" s="20"/>
      <c r="S121" s="20"/>
      <c r="T121"/>
      <c r="U121"/>
      <c r="V121"/>
      <c r="W121"/>
      <c r="X121"/>
      <c r="Y121"/>
      <c r="Z121" s="16"/>
      <c r="AA121" s="16"/>
      <c r="AB121" s="55"/>
      <c r="AC121"/>
      <c r="AD121"/>
      <c r="AE121"/>
      <c r="AF121"/>
      <c r="AG121"/>
      <c r="AH121"/>
      <c r="AI121"/>
      <c r="AJ121"/>
      <c r="AK121"/>
      <c r="AL121"/>
      <c r="AM121"/>
      <c r="AN121"/>
      <c r="AO121"/>
      <c r="AP121"/>
      <c r="AQ121"/>
      <c r="AS121" s="55"/>
      <c r="AT121"/>
      <c r="AU121" s="41"/>
      <c r="AV121" s="16"/>
      <c r="AW121" s="16"/>
      <c r="AX121" s="16"/>
      <c r="AY121" s="16"/>
      <c r="AZ121" s="16"/>
      <c r="BA121" s="16"/>
      <c r="BB121" s="16"/>
      <c r="BC121" s="16"/>
      <c r="BD121" s="16"/>
      <c r="BE121" s="16"/>
      <c r="BF121" s="16"/>
      <c r="BG121" s="16"/>
      <c r="BH121" s="16"/>
      <c r="BI121"/>
      <c r="BJ121"/>
      <c r="BK121"/>
      <c r="BL121"/>
      <c r="BM121"/>
      <c r="BN121"/>
      <c r="BO121"/>
      <c r="BP121"/>
      <c r="BQ121" s="55"/>
      <c r="BR121"/>
      <c r="BS121"/>
      <c r="BT121"/>
      <c r="BU121"/>
      <c r="BV121"/>
      <c r="BW121"/>
      <c r="BX121"/>
      <c r="BY121"/>
      <c r="BZ121"/>
      <c r="CA121"/>
      <c r="CB121"/>
      <c r="CC121"/>
      <c r="CD121"/>
      <c r="CE121"/>
      <c r="CF121"/>
      <c r="CH121" s="55"/>
      <c r="CI121"/>
      <c r="CJ121" s="16"/>
      <c r="CK121" s="16"/>
      <c r="CL121" s="28"/>
      <c r="CM121" s="28"/>
      <c r="CN121" s="28"/>
      <c r="CO121" s="28"/>
      <c r="CP121" s="28"/>
      <c r="CQ121" s="28"/>
      <c r="CR121" s="28"/>
      <c r="CS121" s="28"/>
      <c r="CT121" s="28"/>
      <c r="CU121" s="28"/>
      <c r="CV121" s="28"/>
      <c r="CW121" s="28"/>
      <c r="CX121" s="28"/>
      <c r="CY121" s="28"/>
      <c r="CZ121" s="28"/>
      <c r="DA121" s="28"/>
      <c r="DB121" s="28"/>
      <c r="DC121" s="28"/>
      <c r="DD121" s="28"/>
      <c r="DF121" s="55"/>
      <c r="DX121" s="28"/>
    </row>
    <row r="122" spans="1:128" s="19" customFormat="1" ht="16" customHeight="1">
      <c r="A122" s="18"/>
      <c r="B122" s="17"/>
      <c r="C122" s="16"/>
      <c r="D122" s="16"/>
      <c r="E122" s="16"/>
      <c r="F122" s="16"/>
      <c r="G122" s="16"/>
      <c r="H122" s="20"/>
      <c r="I122" s="20"/>
      <c r="J122" s="20"/>
      <c r="K122" s="20"/>
      <c r="L122" s="20"/>
      <c r="M122" s="20"/>
      <c r="N122" s="20"/>
      <c r="O122" s="20"/>
      <c r="P122" s="20"/>
      <c r="Q122" s="20"/>
      <c r="R122" s="20"/>
      <c r="S122" s="20"/>
      <c r="T122"/>
      <c r="U122"/>
      <c r="V122"/>
      <c r="W122"/>
      <c r="X122"/>
      <c r="Y122"/>
      <c r="Z122" s="16"/>
      <c r="AA122" s="16"/>
      <c r="AB122" s="55"/>
      <c r="AC122"/>
      <c r="AD122"/>
      <c r="AE122"/>
      <c r="AF122"/>
      <c r="AG122"/>
      <c r="AH122"/>
      <c r="AI122"/>
      <c r="AJ122"/>
      <c r="AK122"/>
      <c r="AL122"/>
      <c r="AM122"/>
      <c r="AN122"/>
      <c r="AO122"/>
      <c r="AP122"/>
      <c r="AQ122"/>
      <c r="AS122" s="55"/>
      <c r="AT122"/>
      <c r="AU122" s="41"/>
      <c r="AV122" s="16"/>
      <c r="AW122" s="16"/>
      <c r="AX122" s="16"/>
      <c r="AY122" s="16"/>
      <c r="AZ122" s="16"/>
      <c r="BA122" s="16"/>
      <c r="BB122" s="16"/>
      <c r="BC122" s="16"/>
      <c r="BD122" s="16"/>
      <c r="BE122" s="16"/>
      <c r="BF122" s="16"/>
      <c r="BG122" s="16"/>
      <c r="BH122" s="16"/>
      <c r="BI122"/>
      <c r="BJ122"/>
      <c r="BK122"/>
      <c r="BL122"/>
      <c r="BM122"/>
      <c r="BN122"/>
      <c r="BO122"/>
      <c r="BP122"/>
      <c r="BQ122" s="55"/>
      <c r="BR122"/>
      <c r="BS122"/>
      <c r="BT122"/>
      <c r="BU122"/>
      <c r="BV122"/>
      <c r="BW122"/>
      <c r="BX122"/>
      <c r="BY122"/>
      <c r="BZ122"/>
      <c r="CA122"/>
      <c r="CB122"/>
      <c r="CC122"/>
      <c r="CD122"/>
      <c r="CE122"/>
      <c r="CF122"/>
      <c r="CH122" s="55"/>
      <c r="CI122"/>
      <c r="CJ122" s="16"/>
      <c r="CK122" s="16"/>
      <c r="CL122" s="28"/>
      <c r="CM122" s="28"/>
      <c r="CN122" s="28"/>
      <c r="CO122" s="28"/>
      <c r="CP122" s="28"/>
      <c r="CQ122" s="28"/>
      <c r="CR122" s="28"/>
      <c r="CS122" s="28"/>
      <c r="CT122" s="28"/>
      <c r="CU122" s="28"/>
      <c r="CV122" s="28"/>
      <c r="CW122" s="28"/>
      <c r="CX122" s="28"/>
      <c r="CY122" s="28"/>
      <c r="CZ122" s="28"/>
      <c r="DA122" s="28"/>
      <c r="DB122" s="28"/>
      <c r="DC122" s="28"/>
      <c r="DD122" s="28"/>
      <c r="DF122" s="55"/>
      <c r="DX122" s="28"/>
    </row>
    <row r="123" spans="1:128" s="19" customFormat="1" ht="16" customHeight="1">
      <c r="A123" s="18"/>
      <c r="B123" s="17"/>
      <c r="C123" s="16"/>
      <c r="D123" s="16"/>
      <c r="E123" s="16"/>
      <c r="F123" s="16"/>
      <c r="G123" s="16"/>
      <c r="H123" s="20"/>
      <c r="I123" s="20"/>
      <c r="J123" s="20"/>
      <c r="K123" s="20"/>
      <c r="L123" s="20"/>
      <c r="M123" s="20"/>
      <c r="N123" s="20"/>
      <c r="O123" s="20"/>
      <c r="P123" s="20"/>
      <c r="Q123" s="20"/>
      <c r="R123" s="20"/>
      <c r="S123" s="20"/>
      <c r="T123"/>
      <c r="U123"/>
      <c r="V123"/>
      <c r="W123"/>
      <c r="X123"/>
      <c r="Y123"/>
      <c r="Z123" s="16"/>
      <c r="AA123" s="16"/>
      <c r="AB123" s="55"/>
      <c r="AC123"/>
      <c r="AD123"/>
      <c r="AE123"/>
      <c r="AF123"/>
      <c r="AG123"/>
      <c r="AH123"/>
      <c r="AI123"/>
      <c r="AJ123"/>
      <c r="AK123"/>
      <c r="AL123"/>
      <c r="AM123"/>
      <c r="AN123"/>
      <c r="AO123"/>
      <c r="AP123"/>
      <c r="AQ123"/>
      <c r="AS123" s="55"/>
      <c r="AT123"/>
      <c r="AU123" s="41"/>
      <c r="AV123" s="16"/>
      <c r="AW123" s="16"/>
      <c r="AX123" s="16"/>
      <c r="AY123" s="16"/>
      <c r="AZ123" s="16"/>
      <c r="BA123" s="16"/>
      <c r="BB123" s="16"/>
      <c r="BC123" s="16"/>
      <c r="BD123" s="16"/>
      <c r="BE123" s="16"/>
      <c r="BF123" s="16"/>
      <c r="BG123" s="16"/>
      <c r="BH123" s="16"/>
      <c r="BI123"/>
      <c r="BJ123"/>
      <c r="BK123"/>
      <c r="BL123"/>
      <c r="BM123"/>
      <c r="BN123"/>
      <c r="BO123"/>
      <c r="BP123"/>
      <c r="BQ123" s="55"/>
      <c r="BR123"/>
      <c r="BS123"/>
      <c r="BT123"/>
      <c r="BU123"/>
      <c r="BV123"/>
      <c r="BW123"/>
      <c r="BX123"/>
      <c r="BY123"/>
      <c r="BZ123"/>
      <c r="CA123"/>
      <c r="CB123"/>
      <c r="CC123"/>
      <c r="CD123"/>
      <c r="CE123"/>
      <c r="CF123"/>
      <c r="CH123" s="55"/>
      <c r="CI123"/>
      <c r="CJ123" s="16"/>
      <c r="CK123" s="16"/>
      <c r="CL123" s="28"/>
      <c r="CM123" s="28"/>
      <c r="CN123" s="28"/>
      <c r="CO123" s="28"/>
      <c r="CP123" s="28"/>
      <c r="CQ123" s="28"/>
      <c r="CR123" s="28"/>
      <c r="CS123" s="28"/>
      <c r="CT123" s="28"/>
      <c r="CU123" s="28"/>
      <c r="CV123" s="28"/>
      <c r="CW123" s="28"/>
      <c r="CX123" s="28"/>
      <c r="CY123" s="28"/>
      <c r="CZ123" s="28"/>
      <c r="DA123" s="28"/>
      <c r="DB123" s="28"/>
      <c r="DC123" s="28"/>
      <c r="DD123" s="28"/>
      <c r="DF123" s="55"/>
      <c r="DX123" s="28"/>
    </row>
    <row r="124" spans="1:128" s="19" customFormat="1" ht="16" customHeight="1">
      <c r="A124" s="18"/>
      <c r="B124" s="17"/>
      <c r="C124" s="16"/>
      <c r="D124" s="16"/>
      <c r="E124" s="16"/>
      <c r="F124" s="16"/>
      <c r="G124" s="16"/>
      <c r="H124" s="20"/>
      <c r="I124" s="20"/>
      <c r="J124" s="20"/>
      <c r="K124" s="20"/>
      <c r="L124" s="20"/>
      <c r="M124" s="20"/>
      <c r="N124" s="20"/>
      <c r="O124" s="20"/>
      <c r="P124" s="20"/>
      <c r="Q124" s="20"/>
      <c r="R124" s="20"/>
      <c r="S124" s="20"/>
      <c r="T124"/>
      <c r="U124"/>
      <c r="V124"/>
      <c r="W124"/>
      <c r="X124"/>
      <c r="Y124"/>
      <c r="Z124" s="16"/>
      <c r="AA124" s="16"/>
      <c r="AB124" s="55"/>
      <c r="AC124"/>
      <c r="AD124"/>
      <c r="AE124"/>
      <c r="AF124"/>
      <c r="AG124"/>
      <c r="AH124"/>
      <c r="AI124"/>
      <c r="AJ124"/>
      <c r="AK124"/>
      <c r="AL124"/>
      <c r="AM124"/>
      <c r="AN124"/>
      <c r="AO124"/>
      <c r="AP124"/>
      <c r="AQ124"/>
      <c r="AS124" s="55"/>
      <c r="AT124"/>
      <c r="AU124" s="41"/>
      <c r="AV124" s="16"/>
      <c r="AW124" s="16"/>
      <c r="AX124" s="16"/>
      <c r="AY124" s="16"/>
      <c r="AZ124" s="16"/>
      <c r="BA124" s="16"/>
      <c r="BB124" s="16"/>
      <c r="BC124" s="16"/>
      <c r="BD124" s="16"/>
      <c r="BE124" s="16"/>
      <c r="BF124" s="16"/>
      <c r="BG124" s="16"/>
      <c r="BH124" s="16"/>
      <c r="BI124"/>
      <c r="BJ124"/>
      <c r="BK124"/>
      <c r="BL124"/>
      <c r="BM124"/>
      <c r="BN124"/>
      <c r="BO124"/>
      <c r="BP124"/>
      <c r="BQ124" s="55"/>
      <c r="BR124"/>
      <c r="BS124"/>
      <c r="BT124"/>
      <c r="BU124"/>
      <c r="BV124"/>
      <c r="BW124"/>
      <c r="BX124"/>
      <c r="BY124"/>
      <c r="BZ124"/>
      <c r="CA124"/>
      <c r="CB124"/>
      <c r="CC124"/>
      <c r="CD124"/>
      <c r="CE124"/>
      <c r="CF124"/>
      <c r="CH124" s="55"/>
      <c r="CI124"/>
      <c r="CJ124" s="16"/>
      <c r="CK124" s="16"/>
      <c r="CL124" s="28"/>
      <c r="CM124" s="28"/>
      <c r="CN124" s="28"/>
      <c r="CO124" s="28"/>
      <c r="CP124" s="28"/>
      <c r="CQ124" s="28"/>
      <c r="CR124" s="28"/>
      <c r="CS124" s="28"/>
      <c r="CT124" s="28"/>
      <c r="CU124" s="28"/>
      <c r="CV124" s="28"/>
      <c r="CW124" s="28"/>
      <c r="CX124" s="28"/>
      <c r="CY124" s="28"/>
      <c r="CZ124" s="28"/>
      <c r="DA124" s="28"/>
      <c r="DB124" s="28"/>
      <c r="DC124" s="28"/>
      <c r="DD124" s="28"/>
      <c r="DF124" s="55"/>
      <c r="DX124" s="28"/>
    </row>
    <row r="125" spans="1:128" s="19" customFormat="1" ht="16" customHeight="1">
      <c r="A125" s="18"/>
      <c r="B125" s="17"/>
      <c r="C125" s="16"/>
      <c r="D125" s="16"/>
      <c r="E125" s="16"/>
      <c r="F125" s="16"/>
      <c r="G125" s="16"/>
      <c r="H125" s="20"/>
      <c r="I125" s="20"/>
      <c r="J125" s="20"/>
      <c r="K125" s="20"/>
      <c r="L125" s="20"/>
      <c r="M125" s="20"/>
      <c r="N125" s="20"/>
      <c r="O125" s="20"/>
      <c r="P125" s="20"/>
      <c r="Q125" s="20"/>
      <c r="R125" s="20"/>
      <c r="S125" s="20"/>
      <c r="T125"/>
      <c r="U125"/>
      <c r="V125"/>
      <c r="W125"/>
      <c r="X125"/>
      <c r="Y125"/>
      <c r="Z125" s="16"/>
      <c r="AA125" s="16"/>
      <c r="AB125" s="55"/>
      <c r="AC125"/>
      <c r="AD125"/>
      <c r="AE125"/>
      <c r="AF125"/>
      <c r="AG125"/>
      <c r="AH125"/>
      <c r="AI125"/>
      <c r="AJ125"/>
      <c r="AK125"/>
      <c r="AL125"/>
      <c r="AM125"/>
      <c r="AN125"/>
      <c r="AO125"/>
      <c r="AP125"/>
      <c r="AQ125"/>
      <c r="AS125" s="55"/>
      <c r="AT125"/>
      <c r="AU125" s="41"/>
      <c r="AV125" s="16"/>
      <c r="AW125" s="16"/>
      <c r="AX125" s="16"/>
      <c r="AY125" s="16"/>
      <c r="AZ125" s="16"/>
      <c r="BA125" s="16"/>
      <c r="BB125" s="16"/>
      <c r="BC125" s="16"/>
      <c r="BD125" s="16"/>
      <c r="BE125" s="16"/>
      <c r="BF125" s="16"/>
      <c r="BG125" s="16"/>
      <c r="BH125" s="16"/>
      <c r="BI125"/>
      <c r="BJ125"/>
      <c r="BK125"/>
      <c r="BL125"/>
      <c r="BM125"/>
      <c r="BN125"/>
      <c r="BO125"/>
      <c r="BP125"/>
      <c r="BQ125" s="55"/>
      <c r="BR125"/>
      <c r="BS125"/>
      <c r="BT125"/>
      <c r="BU125"/>
      <c r="BV125"/>
      <c r="BW125"/>
      <c r="BX125"/>
      <c r="BY125"/>
      <c r="BZ125"/>
      <c r="CA125"/>
      <c r="CB125"/>
      <c r="CC125"/>
      <c r="CD125"/>
      <c r="CE125"/>
      <c r="CF125"/>
      <c r="CH125" s="55"/>
      <c r="CI125"/>
      <c r="CJ125" s="16"/>
      <c r="CK125" s="16"/>
      <c r="CL125" s="28"/>
      <c r="CM125" s="28"/>
      <c r="CN125" s="28"/>
      <c r="CO125" s="28"/>
      <c r="CP125" s="28"/>
      <c r="CQ125" s="28"/>
      <c r="CR125" s="28"/>
      <c r="CS125" s="28"/>
      <c r="CT125" s="28"/>
      <c r="CU125" s="28"/>
      <c r="CV125" s="28"/>
      <c r="CW125" s="28"/>
      <c r="CX125" s="28"/>
      <c r="CY125" s="28"/>
      <c r="CZ125" s="28"/>
      <c r="DA125" s="28"/>
      <c r="DB125" s="28"/>
      <c r="DC125" s="28"/>
      <c r="DD125" s="28"/>
      <c r="DF125" s="55"/>
      <c r="DX125" s="28"/>
    </row>
    <row r="126" spans="1:128" s="19" customFormat="1" ht="16" customHeight="1">
      <c r="A126" s="18"/>
      <c r="B126" s="17"/>
      <c r="C126" s="16"/>
      <c r="D126" s="16"/>
      <c r="E126" s="16"/>
      <c r="F126" s="16"/>
      <c r="G126" s="16"/>
      <c r="H126" s="20"/>
      <c r="I126" s="20"/>
      <c r="J126" s="20"/>
      <c r="K126" s="20"/>
      <c r="L126" s="20"/>
      <c r="M126" s="20"/>
      <c r="N126" s="20"/>
      <c r="O126" s="20"/>
      <c r="P126" s="20"/>
      <c r="Q126" s="20"/>
      <c r="R126" s="20"/>
      <c r="S126" s="20"/>
      <c r="T126"/>
      <c r="U126"/>
      <c r="V126"/>
      <c r="W126"/>
      <c r="X126"/>
      <c r="Y126"/>
      <c r="Z126" s="16"/>
      <c r="AA126" s="16"/>
      <c r="AB126" s="55"/>
      <c r="AC126"/>
      <c r="AD126"/>
      <c r="AE126"/>
      <c r="AF126"/>
      <c r="AG126"/>
      <c r="AH126"/>
      <c r="AI126"/>
      <c r="AJ126"/>
      <c r="AK126"/>
      <c r="AL126"/>
      <c r="AM126"/>
      <c r="AN126"/>
      <c r="AO126"/>
      <c r="AP126"/>
      <c r="AQ126"/>
      <c r="AS126" s="55"/>
      <c r="AT126"/>
      <c r="AU126" s="41"/>
      <c r="AV126" s="16"/>
      <c r="AW126" s="16"/>
      <c r="AX126" s="16"/>
      <c r="AY126" s="16"/>
      <c r="AZ126" s="16"/>
      <c r="BA126" s="16"/>
      <c r="BB126" s="16"/>
      <c r="BC126" s="16"/>
      <c r="BD126" s="16"/>
      <c r="BE126" s="16"/>
      <c r="BF126" s="16"/>
      <c r="BG126" s="16"/>
      <c r="BH126" s="16"/>
      <c r="BI126"/>
      <c r="BJ126"/>
      <c r="BK126"/>
      <c r="BL126"/>
      <c r="BM126"/>
      <c r="BN126"/>
      <c r="BO126"/>
      <c r="BP126"/>
      <c r="BQ126" s="55"/>
      <c r="BR126"/>
      <c r="BS126"/>
      <c r="BT126"/>
      <c r="BU126"/>
      <c r="BV126"/>
      <c r="BW126"/>
      <c r="BX126"/>
      <c r="BY126"/>
      <c r="BZ126"/>
      <c r="CA126"/>
      <c r="CB126"/>
      <c r="CC126"/>
      <c r="CD126"/>
      <c r="CE126"/>
      <c r="CF126"/>
      <c r="CH126" s="55"/>
      <c r="CI126"/>
      <c r="CJ126" s="16"/>
      <c r="CK126" s="16"/>
      <c r="CL126" s="28"/>
      <c r="CM126" s="28"/>
      <c r="CN126" s="28"/>
      <c r="CO126" s="28"/>
      <c r="CP126" s="28"/>
      <c r="CQ126" s="28"/>
      <c r="CR126" s="28"/>
      <c r="CS126" s="28"/>
      <c r="CT126" s="28"/>
      <c r="CU126" s="28"/>
      <c r="CV126" s="28"/>
      <c r="CW126" s="28"/>
      <c r="CX126" s="28"/>
      <c r="CY126" s="28"/>
      <c r="CZ126" s="28"/>
      <c r="DA126" s="28"/>
      <c r="DB126" s="28"/>
      <c r="DC126" s="28"/>
      <c r="DD126" s="28"/>
      <c r="DF126" s="55"/>
      <c r="DX126" s="28"/>
    </row>
    <row r="127" spans="1:128" s="19" customFormat="1" ht="16" customHeight="1">
      <c r="A127" s="18"/>
      <c r="B127" s="17"/>
      <c r="C127" s="16"/>
      <c r="D127" s="16"/>
      <c r="E127" s="16"/>
      <c r="F127" s="16"/>
      <c r="G127" s="16"/>
      <c r="H127" s="20"/>
      <c r="I127" s="20"/>
      <c r="J127" s="20"/>
      <c r="K127" s="20"/>
      <c r="L127" s="20"/>
      <c r="M127" s="20"/>
      <c r="N127" s="20"/>
      <c r="O127" s="20"/>
      <c r="P127" s="20"/>
      <c r="Q127" s="20"/>
      <c r="R127" s="20"/>
      <c r="S127" s="20"/>
      <c r="T127"/>
      <c r="U127"/>
      <c r="V127"/>
      <c r="W127"/>
      <c r="X127"/>
      <c r="Y127"/>
      <c r="Z127" s="16"/>
      <c r="AA127" s="16"/>
      <c r="AB127" s="55"/>
      <c r="AC127"/>
      <c r="AD127"/>
      <c r="AE127"/>
      <c r="AF127"/>
      <c r="AG127"/>
      <c r="AH127"/>
      <c r="AI127"/>
      <c r="AJ127"/>
      <c r="AK127"/>
      <c r="AL127"/>
      <c r="AM127"/>
      <c r="AN127"/>
      <c r="AO127"/>
      <c r="AP127"/>
      <c r="AQ127"/>
      <c r="AS127" s="55"/>
      <c r="AT127"/>
      <c r="AU127" s="41"/>
      <c r="AV127" s="16"/>
      <c r="AW127" s="16"/>
      <c r="AX127" s="16"/>
      <c r="AY127" s="16"/>
      <c r="AZ127" s="16"/>
      <c r="BA127" s="16"/>
      <c r="BB127" s="16"/>
      <c r="BC127" s="16"/>
      <c r="BD127" s="16"/>
      <c r="BE127" s="16"/>
      <c r="BF127" s="16"/>
      <c r="BG127" s="16"/>
      <c r="BH127" s="16"/>
      <c r="BI127"/>
      <c r="BJ127"/>
      <c r="BK127"/>
      <c r="BL127"/>
      <c r="BM127"/>
      <c r="BN127"/>
      <c r="BO127"/>
      <c r="BP127"/>
      <c r="BQ127" s="55"/>
      <c r="BR127"/>
      <c r="BS127"/>
      <c r="BT127"/>
      <c r="BU127"/>
      <c r="BV127"/>
      <c r="BW127"/>
      <c r="BX127"/>
      <c r="BY127"/>
      <c r="BZ127"/>
      <c r="CA127"/>
      <c r="CB127"/>
      <c r="CC127"/>
      <c r="CD127"/>
      <c r="CE127"/>
      <c r="CF127"/>
      <c r="CH127" s="55"/>
      <c r="CI127"/>
      <c r="CJ127" s="16"/>
      <c r="CK127" s="16"/>
      <c r="CL127" s="28"/>
      <c r="CM127" s="28"/>
      <c r="CN127" s="28"/>
      <c r="CO127" s="28"/>
      <c r="CP127" s="28"/>
      <c r="CQ127" s="28"/>
      <c r="CR127" s="28"/>
      <c r="CS127" s="28"/>
      <c r="CT127" s="28"/>
      <c r="CU127" s="28"/>
      <c r="CV127" s="28"/>
      <c r="CW127" s="28"/>
      <c r="CX127" s="28"/>
      <c r="CY127" s="28"/>
      <c r="CZ127" s="28"/>
      <c r="DA127" s="28"/>
      <c r="DB127" s="28"/>
      <c r="DC127" s="28"/>
      <c r="DD127" s="28"/>
      <c r="DF127" s="55"/>
      <c r="DX127" s="28"/>
    </row>
    <row r="128" spans="1:128" s="19" customFormat="1" ht="16" customHeight="1">
      <c r="A128" s="18"/>
      <c r="B128" s="17"/>
      <c r="C128" s="16"/>
      <c r="D128" s="16"/>
      <c r="E128" s="16"/>
      <c r="F128" s="16"/>
      <c r="G128" s="16"/>
      <c r="H128" s="20"/>
      <c r="I128" s="20"/>
      <c r="J128" s="20"/>
      <c r="K128" s="20"/>
      <c r="L128" s="20"/>
      <c r="M128" s="20"/>
      <c r="N128" s="20"/>
      <c r="O128" s="20"/>
      <c r="P128" s="20"/>
      <c r="Q128" s="20"/>
      <c r="R128" s="20"/>
      <c r="S128" s="20"/>
      <c r="T128"/>
      <c r="U128"/>
      <c r="V128"/>
      <c r="W128"/>
      <c r="X128"/>
      <c r="Y128"/>
      <c r="Z128" s="16"/>
      <c r="AA128" s="16"/>
      <c r="AB128" s="55"/>
      <c r="AC128"/>
      <c r="AD128"/>
      <c r="AE128"/>
      <c r="AF128"/>
      <c r="AG128"/>
      <c r="AH128"/>
      <c r="AI128"/>
      <c r="AJ128"/>
      <c r="AK128"/>
      <c r="AL128"/>
      <c r="AM128"/>
      <c r="AN128"/>
      <c r="AO128"/>
      <c r="AP128"/>
      <c r="AQ128"/>
      <c r="AS128" s="55"/>
      <c r="AT128"/>
      <c r="AU128" s="41"/>
      <c r="AV128" s="16"/>
      <c r="AW128" s="16"/>
      <c r="AX128" s="16"/>
      <c r="AY128" s="16"/>
      <c r="AZ128" s="16"/>
      <c r="BA128" s="16"/>
      <c r="BB128" s="16"/>
      <c r="BC128" s="16"/>
      <c r="BD128" s="16"/>
      <c r="BE128" s="16"/>
      <c r="BF128" s="16"/>
      <c r="BG128" s="16"/>
      <c r="BH128" s="16"/>
      <c r="BI128"/>
      <c r="BJ128"/>
      <c r="BK128"/>
      <c r="BL128"/>
      <c r="BM128"/>
      <c r="BN128"/>
      <c r="BO128"/>
      <c r="BP128"/>
      <c r="BQ128" s="55"/>
      <c r="BR128"/>
      <c r="BS128"/>
      <c r="BT128"/>
      <c r="BU128"/>
      <c r="BV128"/>
      <c r="BW128"/>
      <c r="BX128"/>
      <c r="BY128"/>
      <c r="BZ128"/>
      <c r="CA128"/>
      <c r="CB128"/>
      <c r="CC128"/>
      <c r="CD128"/>
      <c r="CE128"/>
      <c r="CF128"/>
      <c r="CH128" s="55"/>
      <c r="CI128"/>
      <c r="CJ128" s="16"/>
      <c r="CK128" s="16"/>
      <c r="CL128" s="28"/>
      <c r="CM128" s="28"/>
      <c r="CN128" s="28"/>
      <c r="CO128" s="28"/>
      <c r="CP128" s="28"/>
      <c r="CQ128" s="28"/>
      <c r="CR128" s="28"/>
      <c r="CS128" s="28"/>
      <c r="CT128" s="28"/>
      <c r="CU128" s="28"/>
      <c r="CV128" s="28"/>
      <c r="CW128" s="28"/>
      <c r="CX128" s="28"/>
      <c r="CY128" s="28"/>
      <c r="CZ128" s="28"/>
      <c r="DA128" s="28"/>
      <c r="DB128" s="28"/>
      <c r="DC128" s="28"/>
      <c r="DD128" s="28"/>
      <c r="DF128" s="55"/>
      <c r="DX128" s="28"/>
    </row>
    <row r="129" spans="1:128" s="19" customFormat="1" ht="16" customHeight="1">
      <c r="A129" s="18"/>
      <c r="B129" s="17"/>
      <c r="C129" s="16"/>
      <c r="D129" s="16"/>
      <c r="E129" s="16"/>
      <c r="F129" s="16"/>
      <c r="G129" s="16"/>
      <c r="H129" s="20"/>
      <c r="I129" s="20"/>
      <c r="J129" s="20"/>
      <c r="K129" s="20"/>
      <c r="L129" s="20"/>
      <c r="M129" s="20"/>
      <c r="N129" s="20"/>
      <c r="O129" s="20"/>
      <c r="P129" s="20"/>
      <c r="Q129" s="20"/>
      <c r="R129" s="20"/>
      <c r="S129" s="20"/>
      <c r="T129"/>
      <c r="U129"/>
      <c r="V129"/>
      <c r="W129"/>
      <c r="X129"/>
      <c r="Y129"/>
      <c r="Z129" s="16"/>
      <c r="AA129" s="16"/>
      <c r="AB129" s="55"/>
      <c r="AC129"/>
      <c r="AD129"/>
      <c r="AE129"/>
      <c r="AF129"/>
      <c r="AG129"/>
      <c r="AH129"/>
      <c r="AI129"/>
      <c r="AJ129"/>
      <c r="AK129"/>
      <c r="AL129"/>
      <c r="AM129"/>
      <c r="AN129"/>
      <c r="AO129"/>
      <c r="AP129"/>
      <c r="AQ129"/>
      <c r="AS129" s="55"/>
      <c r="AT129"/>
      <c r="AU129" s="41"/>
      <c r="AV129" s="16"/>
      <c r="AW129" s="16"/>
      <c r="AX129" s="16"/>
      <c r="AY129" s="16"/>
      <c r="AZ129" s="16"/>
      <c r="BA129" s="16"/>
      <c r="BB129" s="16"/>
      <c r="BC129" s="16"/>
      <c r="BD129" s="16"/>
      <c r="BE129" s="16"/>
      <c r="BF129" s="16"/>
      <c r="BG129" s="16"/>
      <c r="BH129" s="16"/>
      <c r="BI129"/>
      <c r="BJ129"/>
      <c r="BK129"/>
      <c r="BL129"/>
      <c r="BM129"/>
      <c r="BN129"/>
      <c r="BO129"/>
      <c r="BP129"/>
      <c r="BQ129" s="55"/>
      <c r="BR129"/>
      <c r="BS129"/>
      <c r="BT129"/>
      <c r="BU129"/>
      <c r="BV129"/>
      <c r="BW129"/>
      <c r="BX129"/>
      <c r="BY129"/>
      <c r="BZ129"/>
      <c r="CA129"/>
      <c r="CB129"/>
      <c r="CC129"/>
      <c r="CD129"/>
      <c r="CE129"/>
      <c r="CF129"/>
      <c r="CH129" s="55"/>
      <c r="CI129"/>
      <c r="CJ129" s="16"/>
      <c r="CK129" s="16"/>
      <c r="CL129" s="28"/>
      <c r="CM129" s="28"/>
      <c r="CN129" s="28"/>
      <c r="CO129" s="28"/>
      <c r="CP129" s="28"/>
      <c r="CQ129" s="28"/>
      <c r="CR129" s="28"/>
      <c r="CS129" s="28"/>
      <c r="CT129" s="28"/>
      <c r="CU129" s="28"/>
      <c r="CV129" s="28"/>
      <c r="CW129" s="28"/>
      <c r="CX129" s="28"/>
      <c r="CY129" s="28"/>
      <c r="CZ129" s="28"/>
      <c r="DA129" s="28"/>
      <c r="DB129" s="28"/>
      <c r="DC129" s="28"/>
      <c r="DD129" s="28"/>
      <c r="DF129" s="55"/>
      <c r="DX129" s="28"/>
    </row>
    <row r="130" spans="1:128" s="19" customFormat="1" ht="16" customHeight="1">
      <c r="A130" s="18"/>
      <c r="B130" s="17"/>
      <c r="C130" s="16"/>
      <c r="D130" s="16"/>
      <c r="E130" s="16"/>
      <c r="F130" s="16"/>
      <c r="G130" s="16"/>
      <c r="H130" s="20"/>
      <c r="I130" s="20"/>
      <c r="J130" s="20"/>
      <c r="K130" s="20"/>
      <c r="L130" s="20"/>
      <c r="M130" s="20"/>
      <c r="N130" s="20"/>
      <c r="O130" s="20"/>
      <c r="P130" s="20"/>
      <c r="Q130" s="20"/>
      <c r="R130" s="20"/>
      <c r="S130" s="20"/>
      <c r="T130"/>
      <c r="U130"/>
      <c r="V130"/>
      <c r="W130"/>
      <c r="X130"/>
      <c r="Y130"/>
      <c r="Z130" s="16"/>
      <c r="AA130" s="16"/>
      <c r="AB130" s="55"/>
      <c r="AC130"/>
      <c r="AD130"/>
      <c r="AE130"/>
      <c r="AF130"/>
      <c r="AG130"/>
      <c r="AH130"/>
      <c r="AI130"/>
      <c r="AJ130"/>
      <c r="AK130"/>
      <c r="AL130"/>
      <c r="AM130"/>
      <c r="AN130"/>
      <c r="AO130"/>
      <c r="AP130"/>
      <c r="AQ130"/>
      <c r="AS130" s="55"/>
      <c r="AT130"/>
      <c r="AU130" s="41"/>
      <c r="AV130" s="16"/>
      <c r="AW130" s="16"/>
      <c r="AX130" s="16"/>
      <c r="AY130" s="16"/>
      <c r="AZ130" s="16"/>
      <c r="BA130" s="16"/>
      <c r="BB130" s="16"/>
      <c r="BC130" s="16"/>
      <c r="BD130" s="16"/>
      <c r="BE130" s="16"/>
      <c r="BF130" s="16"/>
      <c r="BG130" s="16"/>
      <c r="BH130" s="16"/>
      <c r="BI130"/>
      <c r="BJ130"/>
      <c r="BK130"/>
      <c r="BL130"/>
      <c r="BM130"/>
      <c r="BN130"/>
      <c r="BO130"/>
      <c r="BP130"/>
      <c r="BQ130" s="55"/>
      <c r="BR130"/>
      <c r="BS130"/>
      <c r="BT130"/>
      <c r="BU130"/>
      <c r="BV130"/>
      <c r="BW130"/>
      <c r="BX130"/>
      <c r="BY130"/>
      <c r="BZ130"/>
      <c r="CA130"/>
      <c r="CB130"/>
      <c r="CC130"/>
      <c r="CD130"/>
      <c r="CE130"/>
      <c r="CF130"/>
      <c r="CH130" s="55"/>
      <c r="CI130"/>
      <c r="CJ130" s="16"/>
      <c r="CK130" s="16"/>
      <c r="CL130" s="28"/>
      <c r="CM130" s="28"/>
      <c r="CN130" s="28"/>
      <c r="CO130" s="28"/>
      <c r="CP130" s="28"/>
      <c r="CQ130" s="28"/>
      <c r="CR130" s="28"/>
      <c r="CS130" s="28"/>
      <c r="CT130" s="28"/>
      <c r="CU130" s="28"/>
      <c r="CV130" s="28"/>
      <c r="CW130" s="28"/>
      <c r="CX130" s="28"/>
      <c r="CY130" s="28"/>
      <c r="CZ130" s="28"/>
      <c r="DA130" s="28"/>
      <c r="DB130" s="28"/>
      <c r="DC130" s="28"/>
      <c r="DD130" s="28"/>
      <c r="DF130" s="55"/>
      <c r="DX130" s="28"/>
    </row>
    <row r="131" spans="1:128" s="19" customFormat="1" ht="16" customHeight="1">
      <c r="A131" s="18"/>
      <c r="B131" s="17"/>
      <c r="C131" s="16"/>
      <c r="D131" s="16"/>
      <c r="E131" s="16"/>
      <c r="F131" s="16"/>
      <c r="G131" s="16"/>
      <c r="H131" s="20"/>
      <c r="I131" s="20"/>
      <c r="J131" s="20"/>
      <c r="K131" s="20"/>
      <c r="L131" s="20"/>
      <c r="M131" s="20"/>
      <c r="N131" s="20"/>
      <c r="O131" s="20"/>
      <c r="P131" s="20"/>
      <c r="Q131" s="20"/>
      <c r="R131" s="20"/>
      <c r="S131" s="20"/>
      <c r="T131"/>
      <c r="U131"/>
      <c r="V131"/>
      <c r="W131"/>
      <c r="X131"/>
      <c r="Y131"/>
      <c r="Z131" s="16"/>
      <c r="AA131" s="16"/>
      <c r="AB131" s="55"/>
      <c r="AC131"/>
      <c r="AD131"/>
      <c r="AE131"/>
      <c r="AF131"/>
      <c r="AG131"/>
      <c r="AH131"/>
      <c r="AI131"/>
      <c r="AJ131"/>
      <c r="AK131"/>
      <c r="AL131"/>
      <c r="AM131"/>
      <c r="AN131"/>
      <c r="AO131"/>
      <c r="AP131"/>
      <c r="AQ131"/>
      <c r="AS131" s="55"/>
      <c r="AT131"/>
      <c r="AU131" s="41"/>
      <c r="AV131" s="16"/>
      <c r="AW131" s="16"/>
      <c r="AX131" s="16"/>
      <c r="AY131" s="16"/>
      <c r="AZ131" s="16"/>
      <c r="BA131" s="16"/>
      <c r="BB131" s="16"/>
      <c r="BC131" s="16"/>
      <c r="BD131" s="16"/>
      <c r="BE131" s="16"/>
      <c r="BF131" s="16"/>
      <c r="BG131" s="16"/>
      <c r="BH131" s="16"/>
      <c r="BI131"/>
      <c r="BJ131"/>
      <c r="BK131"/>
      <c r="BL131"/>
      <c r="BM131"/>
      <c r="BN131"/>
      <c r="BO131"/>
      <c r="BP131"/>
      <c r="BQ131" s="55"/>
      <c r="BR131"/>
      <c r="BS131"/>
      <c r="BT131"/>
      <c r="BU131"/>
      <c r="BV131"/>
      <c r="BW131"/>
      <c r="BX131"/>
      <c r="BY131"/>
      <c r="BZ131"/>
      <c r="CA131"/>
      <c r="CB131"/>
      <c r="CC131"/>
      <c r="CD131"/>
      <c r="CE131"/>
      <c r="CF131"/>
      <c r="CH131" s="55"/>
      <c r="CI131"/>
      <c r="CJ131" s="16"/>
      <c r="CK131" s="16"/>
      <c r="CL131" s="28"/>
      <c r="CM131" s="28"/>
      <c r="CN131" s="28"/>
      <c r="CO131" s="28"/>
      <c r="CP131" s="28"/>
      <c r="CQ131" s="28"/>
      <c r="CR131" s="28"/>
      <c r="CS131" s="28"/>
      <c r="CT131" s="28"/>
      <c r="CU131" s="28"/>
      <c r="CV131" s="28"/>
      <c r="CW131" s="28"/>
      <c r="CX131" s="28"/>
      <c r="CY131" s="28"/>
      <c r="CZ131" s="28"/>
      <c r="DA131" s="28"/>
      <c r="DB131" s="28"/>
      <c r="DC131" s="28"/>
      <c r="DD131" s="28"/>
      <c r="DF131" s="55"/>
      <c r="DX131" s="28"/>
    </row>
    <row r="132" spans="1:128" s="19" customFormat="1" ht="16" customHeight="1">
      <c r="A132" s="18"/>
      <c r="B132" s="17"/>
      <c r="C132" s="16"/>
      <c r="D132" s="16"/>
      <c r="E132" s="16"/>
      <c r="F132" s="16"/>
      <c r="G132" s="16"/>
      <c r="H132" s="20"/>
      <c r="I132" s="20"/>
      <c r="J132" s="20"/>
      <c r="K132" s="20"/>
      <c r="L132" s="20"/>
      <c r="M132" s="20"/>
      <c r="N132" s="20"/>
      <c r="O132" s="20"/>
      <c r="P132" s="20"/>
      <c r="Q132" s="20"/>
      <c r="R132" s="20"/>
      <c r="S132" s="20"/>
      <c r="T132"/>
      <c r="U132"/>
      <c r="V132"/>
      <c r="W132"/>
      <c r="X132"/>
      <c r="Y132"/>
      <c r="Z132" s="16"/>
      <c r="AA132" s="16"/>
      <c r="AB132" s="55"/>
      <c r="AC132"/>
      <c r="AD132"/>
      <c r="AE132"/>
      <c r="AF132"/>
      <c r="AG132"/>
      <c r="AH132"/>
      <c r="AI132"/>
      <c r="AJ132"/>
      <c r="AK132"/>
      <c r="AL132"/>
      <c r="AM132"/>
      <c r="AN132"/>
      <c r="AO132"/>
      <c r="AP132"/>
      <c r="AQ132"/>
      <c r="AS132" s="55"/>
      <c r="AT132"/>
      <c r="AU132" s="41"/>
      <c r="AV132" s="16"/>
      <c r="AW132" s="16"/>
      <c r="AX132" s="16"/>
      <c r="AY132" s="16"/>
      <c r="AZ132" s="16"/>
      <c r="BA132" s="16"/>
      <c r="BB132" s="16"/>
      <c r="BC132" s="16"/>
      <c r="BD132" s="16"/>
      <c r="BE132" s="16"/>
      <c r="BF132" s="16"/>
      <c r="BG132" s="16"/>
      <c r="BH132" s="16"/>
      <c r="BI132"/>
      <c r="BJ132"/>
      <c r="BK132"/>
      <c r="BL132"/>
      <c r="BM132"/>
      <c r="BN132"/>
      <c r="BO132"/>
      <c r="BP132"/>
      <c r="BQ132" s="55"/>
      <c r="BR132"/>
      <c r="BS132"/>
      <c r="BT132"/>
      <c r="BU132"/>
      <c r="BV132"/>
      <c r="BW132"/>
      <c r="BX132"/>
      <c r="BY132"/>
      <c r="BZ132"/>
      <c r="CA132"/>
      <c r="CB132"/>
      <c r="CC132"/>
      <c r="CD132"/>
      <c r="CE132"/>
      <c r="CF132"/>
      <c r="CH132" s="55"/>
      <c r="CI132"/>
      <c r="CJ132" s="16"/>
      <c r="CK132" s="16"/>
      <c r="CL132" s="28"/>
      <c r="CM132" s="28"/>
      <c r="CN132" s="28"/>
      <c r="CO132" s="28"/>
      <c r="CP132" s="28"/>
      <c r="CQ132" s="28"/>
      <c r="CR132" s="28"/>
      <c r="CS132" s="28"/>
      <c r="CT132" s="28"/>
      <c r="CU132" s="28"/>
      <c r="CV132" s="28"/>
      <c r="CW132" s="28"/>
      <c r="CX132" s="28"/>
      <c r="CY132" s="28"/>
      <c r="CZ132" s="28"/>
      <c r="DA132" s="28"/>
      <c r="DB132" s="28"/>
      <c r="DC132" s="28"/>
      <c r="DD132" s="28"/>
      <c r="DF132" s="55"/>
      <c r="DX132" s="28"/>
    </row>
    <row r="133" spans="1:128" s="19" customFormat="1" ht="16" customHeight="1">
      <c r="A133" s="18"/>
      <c r="B133" s="17"/>
      <c r="C133" s="16"/>
      <c r="D133" s="16"/>
      <c r="E133" s="16"/>
      <c r="F133" s="16"/>
      <c r="G133" s="16"/>
      <c r="H133" s="20"/>
      <c r="I133" s="20"/>
      <c r="J133" s="20"/>
      <c r="K133" s="20"/>
      <c r="L133" s="20"/>
      <c r="M133" s="20"/>
      <c r="N133" s="20"/>
      <c r="O133" s="20"/>
      <c r="P133" s="20"/>
      <c r="Q133" s="20"/>
      <c r="R133" s="20"/>
      <c r="S133" s="20"/>
      <c r="T133"/>
      <c r="U133"/>
      <c r="V133"/>
      <c r="W133"/>
      <c r="X133"/>
      <c r="Y133"/>
      <c r="Z133" s="16"/>
      <c r="AA133" s="16"/>
      <c r="AB133" s="55"/>
      <c r="AC133"/>
      <c r="AD133"/>
      <c r="AE133"/>
      <c r="AF133"/>
      <c r="AG133"/>
      <c r="AH133"/>
      <c r="AI133"/>
      <c r="AJ133"/>
      <c r="AK133"/>
      <c r="AL133"/>
      <c r="AM133"/>
      <c r="AN133"/>
      <c r="AO133"/>
      <c r="AP133"/>
      <c r="AQ133"/>
      <c r="AS133" s="55"/>
      <c r="AT133"/>
      <c r="AU133" s="41"/>
      <c r="AV133" s="16"/>
      <c r="AW133" s="16"/>
      <c r="AX133" s="16"/>
      <c r="AY133" s="16"/>
      <c r="AZ133" s="16"/>
      <c r="BA133" s="16"/>
      <c r="BB133" s="16"/>
      <c r="BC133" s="16"/>
      <c r="BD133" s="16"/>
      <c r="BE133" s="16"/>
      <c r="BF133" s="16"/>
      <c r="BG133" s="16"/>
      <c r="BH133" s="16"/>
      <c r="BI133"/>
      <c r="BJ133"/>
      <c r="BK133"/>
      <c r="BL133"/>
      <c r="BM133"/>
      <c r="BN133"/>
      <c r="BO133"/>
      <c r="BP133"/>
      <c r="BQ133" s="55"/>
      <c r="BR133"/>
      <c r="BS133"/>
      <c r="BT133"/>
      <c r="BU133"/>
      <c r="BV133"/>
      <c r="BW133"/>
      <c r="BX133"/>
      <c r="BY133"/>
      <c r="BZ133"/>
      <c r="CA133"/>
      <c r="CB133"/>
      <c r="CC133"/>
      <c r="CD133"/>
      <c r="CE133"/>
      <c r="CF133"/>
      <c r="CH133" s="55"/>
      <c r="CI133"/>
      <c r="CJ133" s="16"/>
      <c r="CK133" s="16"/>
      <c r="CL133" s="28"/>
      <c r="CM133" s="28"/>
      <c r="CN133" s="28"/>
      <c r="CO133" s="28"/>
      <c r="CP133" s="28"/>
      <c r="CQ133" s="28"/>
      <c r="CR133" s="28"/>
      <c r="CS133" s="28"/>
      <c r="CT133" s="28"/>
      <c r="CU133" s="28"/>
      <c r="CV133" s="28"/>
      <c r="CW133" s="28"/>
      <c r="CX133" s="28"/>
      <c r="CY133" s="28"/>
      <c r="CZ133" s="28"/>
      <c r="DA133" s="28"/>
      <c r="DB133" s="28"/>
      <c r="DC133" s="28"/>
      <c r="DD133" s="28"/>
      <c r="DF133" s="55"/>
      <c r="DX133" s="28"/>
    </row>
    <row r="134" spans="1:128" s="19" customFormat="1" ht="16" customHeight="1">
      <c r="A134" s="18"/>
      <c r="B134" s="17"/>
      <c r="C134" s="16"/>
      <c r="D134" s="16"/>
      <c r="E134" s="16"/>
      <c r="F134" s="16"/>
      <c r="G134" s="16"/>
      <c r="H134" s="20"/>
      <c r="I134" s="20"/>
      <c r="J134" s="20"/>
      <c r="K134" s="20"/>
      <c r="L134" s="20"/>
      <c r="M134" s="20"/>
      <c r="N134" s="20"/>
      <c r="O134" s="20"/>
      <c r="P134" s="20"/>
      <c r="Q134" s="20"/>
      <c r="R134" s="20"/>
      <c r="S134" s="20"/>
      <c r="T134"/>
      <c r="U134"/>
      <c r="V134"/>
      <c r="W134"/>
      <c r="X134"/>
      <c r="Y134"/>
      <c r="Z134" s="16"/>
      <c r="AA134" s="16"/>
      <c r="AB134" s="55"/>
      <c r="AC134"/>
      <c r="AD134"/>
      <c r="AE134"/>
      <c r="AF134"/>
      <c r="AG134"/>
      <c r="AH134"/>
      <c r="AI134"/>
      <c r="AJ134"/>
      <c r="AK134"/>
      <c r="AL134"/>
      <c r="AM134"/>
      <c r="AN134"/>
      <c r="AO134"/>
      <c r="AP134"/>
      <c r="AQ134"/>
      <c r="AS134" s="55"/>
      <c r="AT134"/>
      <c r="AU134" s="41"/>
      <c r="AV134" s="16"/>
      <c r="AW134" s="16"/>
      <c r="AX134" s="16"/>
      <c r="AY134" s="16"/>
      <c r="AZ134" s="16"/>
      <c r="BA134" s="16"/>
      <c r="BB134" s="16"/>
      <c r="BC134" s="16"/>
      <c r="BD134" s="16"/>
      <c r="BE134" s="16"/>
      <c r="BF134" s="16"/>
      <c r="BG134" s="16"/>
      <c r="BH134" s="16"/>
      <c r="BI134"/>
      <c r="BJ134"/>
      <c r="BK134"/>
      <c r="BL134"/>
      <c r="BM134"/>
      <c r="BN134"/>
      <c r="BO134"/>
      <c r="BP134"/>
      <c r="BQ134" s="55"/>
      <c r="BR134"/>
      <c r="BS134"/>
      <c r="BT134"/>
      <c r="BU134"/>
      <c r="BV134"/>
      <c r="BW134"/>
      <c r="BX134"/>
      <c r="BY134"/>
      <c r="BZ134"/>
      <c r="CA134"/>
      <c r="CB134"/>
      <c r="CC134"/>
      <c r="CD134"/>
      <c r="CE134"/>
      <c r="CF134"/>
      <c r="CH134" s="55"/>
      <c r="CI134"/>
      <c r="CJ134" s="16"/>
      <c r="CK134" s="16"/>
      <c r="CL134" s="28"/>
      <c r="CM134" s="28"/>
      <c r="CN134" s="28"/>
      <c r="CO134" s="28"/>
      <c r="CP134" s="28"/>
      <c r="CQ134" s="28"/>
      <c r="CR134" s="28"/>
      <c r="CS134" s="28"/>
      <c r="CT134" s="28"/>
      <c r="CU134" s="28"/>
      <c r="CV134" s="28"/>
      <c r="CW134" s="28"/>
      <c r="CX134" s="28"/>
      <c r="CY134" s="28"/>
      <c r="CZ134" s="28"/>
      <c r="DA134" s="28"/>
      <c r="DB134" s="28"/>
      <c r="DC134" s="28"/>
      <c r="DD134" s="28"/>
      <c r="DF134" s="55"/>
      <c r="DX134" s="28"/>
    </row>
    <row r="135" spans="1:128" s="19" customFormat="1" ht="16" customHeight="1">
      <c r="A135" s="18"/>
      <c r="B135" s="17"/>
      <c r="C135" s="16"/>
      <c r="D135" s="16"/>
      <c r="E135" s="16"/>
      <c r="F135" s="16"/>
      <c r="G135" s="16"/>
      <c r="H135" s="20"/>
      <c r="I135" s="20"/>
      <c r="J135" s="20"/>
      <c r="K135" s="20"/>
      <c r="L135" s="20"/>
      <c r="M135" s="20"/>
      <c r="N135" s="20"/>
      <c r="O135" s="20"/>
      <c r="P135" s="20"/>
      <c r="Q135" s="20"/>
      <c r="R135" s="20"/>
      <c r="S135" s="20"/>
      <c r="T135"/>
      <c r="U135"/>
      <c r="V135"/>
      <c r="W135"/>
      <c r="X135"/>
      <c r="Y135"/>
      <c r="Z135" s="16"/>
      <c r="AA135" s="16"/>
      <c r="AB135" s="55"/>
      <c r="AC135"/>
      <c r="AD135"/>
      <c r="AE135"/>
      <c r="AF135"/>
      <c r="AG135"/>
      <c r="AH135"/>
      <c r="AI135"/>
      <c r="AJ135"/>
      <c r="AK135"/>
      <c r="AL135"/>
      <c r="AM135"/>
      <c r="AN135"/>
      <c r="AO135"/>
      <c r="AP135"/>
      <c r="AQ135"/>
      <c r="AS135" s="55"/>
      <c r="AT135"/>
      <c r="AU135" s="41"/>
      <c r="AV135" s="16"/>
      <c r="AW135" s="16"/>
      <c r="AX135" s="16"/>
      <c r="AY135" s="16"/>
      <c r="AZ135" s="16"/>
      <c r="BA135" s="16"/>
      <c r="BB135" s="16"/>
      <c r="BC135" s="16"/>
      <c r="BD135" s="16"/>
      <c r="BE135" s="16"/>
      <c r="BF135" s="16"/>
      <c r="BG135" s="16"/>
      <c r="BH135" s="16"/>
      <c r="BI135"/>
      <c r="BJ135"/>
      <c r="BK135"/>
      <c r="BL135"/>
      <c r="BM135"/>
      <c r="BN135"/>
      <c r="BO135"/>
      <c r="BP135"/>
      <c r="BQ135" s="55"/>
      <c r="BR135"/>
      <c r="BS135"/>
      <c r="BT135"/>
      <c r="BU135"/>
      <c r="BV135"/>
      <c r="BW135"/>
      <c r="BX135"/>
      <c r="BY135"/>
      <c r="BZ135"/>
      <c r="CA135"/>
      <c r="CB135"/>
      <c r="CC135"/>
      <c r="CD135"/>
      <c r="CE135"/>
      <c r="CF135"/>
      <c r="CH135" s="55"/>
      <c r="CI135"/>
      <c r="CJ135" s="16"/>
      <c r="CK135" s="16"/>
      <c r="CL135" s="28"/>
      <c r="CM135" s="28"/>
      <c r="CN135" s="28"/>
      <c r="CO135" s="28"/>
      <c r="CP135" s="28"/>
      <c r="CQ135" s="28"/>
      <c r="CR135" s="28"/>
      <c r="CS135" s="28"/>
      <c r="CT135" s="28"/>
      <c r="CU135" s="28"/>
      <c r="CV135" s="28"/>
      <c r="CW135" s="28"/>
      <c r="CX135" s="28"/>
      <c r="CY135" s="28"/>
      <c r="CZ135" s="28"/>
      <c r="DA135" s="28"/>
      <c r="DB135" s="28"/>
      <c r="DC135" s="28"/>
      <c r="DD135" s="28"/>
      <c r="DF135" s="55"/>
      <c r="DX135" s="28"/>
    </row>
    <row r="136" spans="1:128" s="19" customFormat="1" ht="16" customHeight="1">
      <c r="A136" s="18"/>
      <c r="B136" s="17"/>
      <c r="C136" s="16"/>
      <c r="D136" s="16"/>
      <c r="E136" s="16"/>
      <c r="F136" s="16"/>
      <c r="G136" s="16"/>
      <c r="H136" s="20"/>
      <c r="I136" s="20"/>
      <c r="J136" s="20"/>
      <c r="K136" s="20"/>
      <c r="L136" s="20"/>
      <c r="M136" s="20"/>
      <c r="N136" s="20"/>
      <c r="O136" s="20"/>
      <c r="P136" s="20"/>
      <c r="Q136" s="20"/>
      <c r="R136" s="20"/>
      <c r="S136" s="20"/>
      <c r="T136"/>
      <c r="U136"/>
      <c r="V136"/>
      <c r="W136"/>
      <c r="X136"/>
      <c r="Y136"/>
      <c r="Z136" s="16"/>
      <c r="AA136" s="16"/>
      <c r="AB136" s="55"/>
      <c r="AC136"/>
      <c r="AD136"/>
      <c r="AE136"/>
      <c r="AF136"/>
      <c r="AG136"/>
      <c r="AH136"/>
      <c r="AI136"/>
      <c r="AJ136"/>
      <c r="AK136"/>
      <c r="AL136"/>
      <c r="AM136"/>
      <c r="AN136"/>
      <c r="AO136"/>
      <c r="AP136"/>
      <c r="AQ136"/>
      <c r="AS136" s="55"/>
      <c r="AT136"/>
      <c r="AU136" s="41"/>
      <c r="AV136" s="16"/>
      <c r="AW136" s="16"/>
      <c r="AX136" s="16"/>
      <c r="AY136" s="16"/>
      <c r="AZ136" s="16"/>
      <c r="BA136" s="16"/>
      <c r="BB136" s="16"/>
      <c r="BC136" s="16"/>
      <c r="BD136" s="16"/>
      <c r="BE136" s="16"/>
      <c r="BF136" s="16"/>
      <c r="BG136" s="16"/>
      <c r="BH136" s="16"/>
      <c r="BI136"/>
      <c r="BJ136"/>
      <c r="BK136"/>
      <c r="BL136"/>
      <c r="BM136"/>
      <c r="BN136"/>
      <c r="BO136"/>
      <c r="BP136"/>
      <c r="BQ136" s="55"/>
      <c r="BR136"/>
      <c r="BS136"/>
      <c r="BT136"/>
      <c r="BU136"/>
      <c r="BV136"/>
      <c r="BW136"/>
      <c r="BX136"/>
      <c r="BY136"/>
      <c r="BZ136"/>
      <c r="CA136"/>
      <c r="CB136"/>
      <c r="CC136"/>
      <c r="CD136"/>
      <c r="CE136"/>
      <c r="CF136"/>
      <c r="CH136" s="55"/>
      <c r="CI136"/>
      <c r="CJ136" s="16"/>
      <c r="CK136" s="16"/>
      <c r="CL136" s="28"/>
      <c r="CM136" s="28"/>
      <c r="CN136" s="28"/>
      <c r="CO136" s="28"/>
      <c r="CP136" s="28"/>
      <c r="CQ136" s="28"/>
      <c r="CR136" s="28"/>
      <c r="CS136" s="28"/>
      <c r="CT136" s="28"/>
      <c r="CU136" s="28"/>
      <c r="CV136" s="28"/>
      <c r="CW136" s="28"/>
      <c r="CX136" s="28"/>
      <c r="CY136" s="28"/>
      <c r="CZ136" s="28"/>
      <c r="DA136" s="28"/>
      <c r="DB136" s="28"/>
      <c r="DC136" s="28"/>
      <c r="DD136" s="28"/>
      <c r="DF136" s="55"/>
      <c r="DX136" s="28"/>
    </row>
    <row r="137" spans="1:128" s="19" customFormat="1" ht="16" customHeight="1">
      <c r="A137" s="18"/>
      <c r="B137" s="17"/>
      <c r="C137" s="16"/>
      <c r="D137" s="16"/>
      <c r="E137" s="16"/>
      <c r="F137" s="16"/>
      <c r="G137" s="16"/>
      <c r="H137" s="20"/>
      <c r="I137" s="20"/>
      <c r="J137" s="20"/>
      <c r="K137" s="20"/>
      <c r="L137" s="20"/>
      <c r="M137" s="20"/>
      <c r="N137" s="20"/>
      <c r="O137" s="20"/>
      <c r="P137" s="20"/>
      <c r="Q137" s="20"/>
      <c r="R137" s="20"/>
      <c r="S137" s="20"/>
      <c r="T137"/>
      <c r="U137"/>
      <c r="V137"/>
      <c r="W137"/>
      <c r="X137"/>
      <c r="Y137"/>
      <c r="Z137" s="16"/>
      <c r="AA137" s="16"/>
      <c r="AB137" s="55"/>
      <c r="AC137"/>
      <c r="AD137"/>
      <c r="AE137"/>
      <c r="AF137"/>
      <c r="AG137"/>
      <c r="AH137"/>
      <c r="AI137"/>
      <c r="AJ137"/>
      <c r="AK137"/>
      <c r="AL137"/>
      <c r="AM137"/>
      <c r="AN137"/>
      <c r="AO137"/>
      <c r="AP137"/>
      <c r="AQ137"/>
      <c r="AS137" s="55"/>
      <c r="AT137"/>
      <c r="AU137" s="41"/>
      <c r="AV137" s="16"/>
      <c r="AW137" s="16"/>
      <c r="AX137" s="16"/>
      <c r="AY137" s="16"/>
      <c r="AZ137" s="16"/>
      <c r="BA137" s="16"/>
      <c r="BB137" s="16"/>
      <c r="BC137" s="16"/>
      <c r="BD137" s="16"/>
      <c r="BE137" s="16"/>
      <c r="BF137" s="16"/>
      <c r="BG137" s="16"/>
      <c r="BH137" s="16"/>
      <c r="BI137"/>
      <c r="BJ137"/>
      <c r="BK137"/>
      <c r="BL137"/>
      <c r="BM137"/>
      <c r="BN137"/>
      <c r="BO137"/>
      <c r="BP137"/>
      <c r="BQ137" s="55"/>
      <c r="BR137"/>
      <c r="BS137"/>
      <c r="BT137"/>
      <c r="BU137"/>
      <c r="BV137"/>
      <c r="BW137"/>
      <c r="BX137"/>
      <c r="BY137"/>
      <c r="BZ137"/>
      <c r="CA137"/>
      <c r="CB137"/>
      <c r="CC137"/>
      <c r="CD137"/>
      <c r="CE137"/>
      <c r="CF137"/>
      <c r="CH137" s="55"/>
      <c r="CI137"/>
      <c r="CJ137" s="16"/>
      <c r="CK137" s="16"/>
      <c r="CL137" s="28"/>
      <c r="CM137" s="28"/>
      <c r="CN137" s="28"/>
      <c r="CO137" s="28"/>
      <c r="CP137" s="28"/>
      <c r="CQ137" s="28"/>
      <c r="CR137" s="28"/>
      <c r="CS137" s="28"/>
      <c r="CT137" s="28"/>
      <c r="CU137" s="28"/>
      <c r="CV137" s="28"/>
      <c r="CW137" s="28"/>
      <c r="CX137" s="28"/>
      <c r="CY137" s="28"/>
      <c r="CZ137" s="28"/>
      <c r="DA137" s="28"/>
      <c r="DB137" s="28"/>
      <c r="DC137" s="28"/>
      <c r="DD137" s="28"/>
      <c r="DF137" s="55"/>
      <c r="DX137" s="28"/>
    </row>
    <row r="138" spans="1:128" s="19" customFormat="1" ht="16" customHeight="1">
      <c r="A138" s="18"/>
      <c r="B138" s="17"/>
      <c r="C138" s="16"/>
      <c r="D138" s="16"/>
      <c r="E138" s="16"/>
      <c r="F138" s="16"/>
      <c r="G138" s="16"/>
      <c r="H138" s="20"/>
      <c r="I138" s="20"/>
      <c r="J138" s="20"/>
      <c r="K138" s="20"/>
      <c r="L138" s="20"/>
      <c r="M138" s="20"/>
      <c r="N138" s="20"/>
      <c r="O138" s="20"/>
      <c r="P138" s="20"/>
      <c r="Q138" s="20"/>
      <c r="R138" s="20"/>
      <c r="S138" s="20"/>
      <c r="T138"/>
      <c r="U138"/>
      <c r="V138"/>
      <c r="W138"/>
      <c r="X138"/>
      <c r="Y138"/>
      <c r="Z138" s="16"/>
      <c r="AA138" s="16"/>
      <c r="AB138" s="55"/>
      <c r="AC138"/>
      <c r="AD138"/>
      <c r="AE138"/>
      <c r="AF138"/>
      <c r="AG138"/>
      <c r="AH138"/>
      <c r="AI138"/>
      <c r="AJ138"/>
      <c r="AK138"/>
      <c r="AL138"/>
      <c r="AM138"/>
      <c r="AN138"/>
      <c r="AO138"/>
      <c r="AP138"/>
      <c r="AQ138"/>
      <c r="AS138" s="55"/>
      <c r="AT138"/>
      <c r="AU138" s="41"/>
      <c r="AV138" s="16"/>
      <c r="AW138" s="16"/>
      <c r="AX138" s="16"/>
      <c r="AY138" s="16"/>
      <c r="AZ138" s="16"/>
      <c r="BA138" s="16"/>
      <c r="BB138" s="16"/>
      <c r="BC138" s="16"/>
      <c r="BD138" s="16"/>
      <c r="BE138" s="16"/>
      <c r="BF138" s="16"/>
      <c r="BG138" s="16"/>
      <c r="BH138" s="16"/>
      <c r="BI138"/>
      <c r="BJ138"/>
      <c r="BK138"/>
      <c r="BL138"/>
      <c r="BM138"/>
      <c r="BN138"/>
      <c r="BO138"/>
      <c r="BP138"/>
      <c r="BQ138" s="55"/>
      <c r="BR138"/>
      <c r="BS138"/>
      <c r="BT138"/>
      <c r="BU138"/>
      <c r="BV138"/>
      <c r="BW138"/>
      <c r="BX138"/>
      <c r="BY138"/>
      <c r="BZ138"/>
      <c r="CA138"/>
      <c r="CB138"/>
      <c r="CC138"/>
      <c r="CD138"/>
      <c r="CE138"/>
      <c r="CF138"/>
      <c r="CH138" s="55"/>
      <c r="CI138"/>
      <c r="CJ138" s="16"/>
      <c r="CK138" s="16"/>
      <c r="CL138" s="28"/>
      <c r="CM138" s="28"/>
      <c r="CN138" s="28"/>
      <c r="CO138" s="28"/>
      <c r="CP138" s="28"/>
      <c r="CQ138" s="28"/>
      <c r="CR138" s="28"/>
      <c r="CS138" s="28"/>
      <c r="CT138" s="28"/>
      <c r="CU138" s="28"/>
      <c r="CV138" s="28"/>
      <c r="CW138" s="28"/>
      <c r="CX138" s="28"/>
      <c r="CY138" s="28"/>
      <c r="CZ138" s="28"/>
      <c r="DA138" s="28"/>
      <c r="DB138" s="28"/>
      <c r="DC138" s="28"/>
      <c r="DD138" s="28"/>
      <c r="DF138" s="55"/>
      <c r="DX138" s="28"/>
    </row>
    <row r="139" spans="1:128" s="19" customFormat="1" ht="16" customHeight="1">
      <c r="A139" s="18"/>
      <c r="B139" s="17"/>
      <c r="C139" s="16"/>
      <c r="D139" s="16"/>
      <c r="E139" s="16"/>
      <c r="F139" s="16"/>
      <c r="G139" s="16"/>
      <c r="H139" s="20"/>
      <c r="I139" s="20"/>
      <c r="J139" s="20"/>
      <c r="K139" s="20"/>
      <c r="L139" s="20"/>
      <c r="M139" s="20"/>
      <c r="N139" s="20"/>
      <c r="O139" s="20"/>
      <c r="P139" s="20"/>
      <c r="Q139" s="20"/>
      <c r="R139" s="20"/>
      <c r="S139" s="20"/>
      <c r="T139"/>
      <c r="U139"/>
      <c r="V139"/>
      <c r="W139"/>
      <c r="X139"/>
      <c r="Y139"/>
      <c r="Z139" s="16"/>
      <c r="AA139" s="16"/>
      <c r="AB139" s="55"/>
      <c r="AC139"/>
      <c r="AD139"/>
      <c r="AE139"/>
      <c r="AF139"/>
      <c r="AG139"/>
      <c r="AH139"/>
      <c r="AI139"/>
      <c r="AJ139"/>
      <c r="AK139"/>
      <c r="AL139"/>
      <c r="AM139"/>
      <c r="AN139"/>
      <c r="AO139"/>
      <c r="AP139"/>
      <c r="AQ139"/>
      <c r="AS139" s="55"/>
      <c r="AT139"/>
      <c r="AU139" s="41"/>
      <c r="AV139" s="16"/>
      <c r="AW139" s="16"/>
      <c r="AX139" s="16"/>
      <c r="AY139" s="16"/>
      <c r="AZ139" s="16"/>
      <c r="BA139" s="16"/>
      <c r="BB139" s="16"/>
      <c r="BC139" s="16"/>
      <c r="BD139" s="16"/>
      <c r="BE139" s="16"/>
      <c r="BF139" s="16"/>
      <c r="BG139" s="16"/>
      <c r="BH139" s="16"/>
      <c r="BI139"/>
      <c r="BJ139"/>
      <c r="BK139"/>
      <c r="BL139"/>
      <c r="BM139"/>
      <c r="BN139"/>
      <c r="BO139"/>
      <c r="BP139"/>
      <c r="BQ139" s="55"/>
      <c r="BR139"/>
      <c r="BS139"/>
      <c r="BT139"/>
      <c r="BU139"/>
      <c r="BV139"/>
      <c r="BW139"/>
      <c r="BX139"/>
      <c r="BY139"/>
      <c r="BZ139"/>
      <c r="CA139"/>
      <c r="CB139"/>
      <c r="CC139"/>
      <c r="CD139"/>
      <c r="CE139"/>
      <c r="CF139"/>
      <c r="CH139" s="55"/>
      <c r="CI139"/>
      <c r="CJ139" s="16"/>
      <c r="CK139" s="16"/>
      <c r="CL139" s="28"/>
      <c r="CM139" s="28"/>
      <c r="CN139" s="28"/>
      <c r="CO139" s="28"/>
      <c r="CP139" s="28"/>
      <c r="CQ139" s="28"/>
      <c r="CR139" s="28"/>
      <c r="CS139" s="28"/>
      <c r="CT139" s="28"/>
      <c r="CU139" s="28"/>
      <c r="CV139" s="28"/>
      <c r="CW139" s="28"/>
      <c r="CX139" s="28"/>
      <c r="CY139" s="28"/>
      <c r="CZ139" s="28"/>
      <c r="DA139" s="28"/>
      <c r="DB139" s="28"/>
      <c r="DC139" s="28"/>
      <c r="DD139" s="28"/>
      <c r="DF139" s="55"/>
      <c r="DX139" s="28"/>
    </row>
    <row r="140" spans="1:128" s="19" customFormat="1" ht="16" customHeight="1">
      <c r="A140" s="18"/>
      <c r="B140" s="17"/>
      <c r="C140" s="16"/>
      <c r="D140" s="16"/>
      <c r="E140" s="16"/>
      <c r="F140" s="16"/>
      <c r="G140" s="16"/>
      <c r="H140" s="20"/>
      <c r="I140" s="20"/>
      <c r="J140" s="20"/>
      <c r="K140" s="20"/>
      <c r="L140" s="20"/>
      <c r="M140" s="20"/>
      <c r="N140" s="20"/>
      <c r="O140" s="20"/>
      <c r="P140" s="20"/>
      <c r="Q140" s="20"/>
      <c r="R140" s="20"/>
      <c r="S140" s="20"/>
      <c r="T140"/>
      <c r="U140"/>
      <c r="V140"/>
      <c r="W140"/>
      <c r="X140"/>
      <c r="Y140"/>
      <c r="Z140" s="16"/>
      <c r="AA140" s="16"/>
      <c r="AB140" s="55"/>
      <c r="AC140"/>
      <c r="AD140"/>
      <c r="AE140"/>
      <c r="AF140"/>
      <c r="AG140"/>
      <c r="AH140"/>
      <c r="AI140"/>
      <c r="AJ140"/>
      <c r="AK140"/>
      <c r="AL140"/>
      <c r="AM140"/>
      <c r="AN140"/>
      <c r="AO140"/>
      <c r="AP140"/>
      <c r="AQ140"/>
      <c r="AS140" s="55"/>
      <c r="AT140"/>
      <c r="AU140" s="41"/>
      <c r="AV140" s="16"/>
      <c r="AW140" s="16"/>
      <c r="AX140" s="16"/>
      <c r="AY140" s="16"/>
      <c r="AZ140" s="16"/>
      <c r="BA140" s="16"/>
      <c r="BB140" s="16"/>
      <c r="BC140" s="16"/>
      <c r="BD140" s="16"/>
      <c r="BE140" s="16"/>
      <c r="BF140" s="16"/>
      <c r="BG140" s="16"/>
      <c r="BH140" s="16"/>
      <c r="BI140"/>
      <c r="BJ140"/>
      <c r="BK140"/>
      <c r="BL140"/>
      <c r="BM140"/>
      <c r="BN140"/>
      <c r="BO140"/>
      <c r="BP140"/>
      <c r="BQ140" s="55"/>
      <c r="BR140"/>
      <c r="BS140"/>
      <c r="BT140"/>
      <c r="BU140"/>
      <c r="BV140"/>
      <c r="BW140"/>
      <c r="BX140"/>
      <c r="BY140"/>
      <c r="BZ140"/>
      <c r="CA140"/>
      <c r="CB140"/>
      <c r="CC140"/>
      <c r="CD140"/>
      <c r="CE140"/>
      <c r="CF140"/>
      <c r="CH140" s="55"/>
      <c r="CI140"/>
      <c r="CJ140" s="16"/>
      <c r="CK140" s="16"/>
      <c r="CL140" s="28"/>
      <c r="CM140" s="28"/>
      <c r="CN140" s="28"/>
      <c r="CO140" s="28"/>
      <c r="CP140" s="28"/>
      <c r="CQ140" s="28"/>
      <c r="CR140" s="28"/>
      <c r="CS140" s="28"/>
      <c r="CT140" s="28"/>
      <c r="CU140" s="28"/>
      <c r="CV140" s="28"/>
      <c r="CW140" s="28"/>
      <c r="CX140" s="28"/>
      <c r="CY140" s="28"/>
      <c r="CZ140" s="28"/>
      <c r="DA140" s="28"/>
      <c r="DB140" s="28"/>
      <c r="DC140" s="28"/>
      <c r="DD140" s="28"/>
      <c r="DF140" s="55"/>
      <c r="DX140" s="28"/>
    </row>
    <row r="141" spans="1:128" s="19" customFormat="1" ht="16" customHeight="1">
      <c r="A141" s="18"/>
      <c r="B141" s="17"/>
      <c r="C141" s="16"/>
      <c r="D141" s="16"/>
      <c r="E141" s="16"/>
      <c r="F141" s="16"/>
      <c r="G141" s="16"/>
      <c r="H141" s="20"/>
      <c r="I141" s="20"/>
      <c r="J141" s="20"/>
      <c r="K141" s="20"/>
      <c r="L141" s="20"/>
      <c r="M141" s="20"/>
      <c r="N141" s="20"/>
      <c r="O141" s="20"/>
      <c r="P141" s="20"/>
      <c r="Q141" s="20"/>
      <c r="R141" s="20"/>
      <c r="S141" s="20"/>
      <c r="T141"/>
      <c r="U141"/>
      <c r="V141"/>
      <c r="W141"/>
      <c r="X141"/>
      <c r="Y141"/>
      <c r="Z141" s="16"/>
      <c r="AA141" s="16"/>
      <c r="AB141" s="55"/>
      <c r="AC141"/>
      <c r="AD141"/>
      <c r="AE141"/>
      <c r="AF141"/>
      <c r="AG141"/>
      <c r="AH141"/>
      <c r="AI141"/>
      <c r="AJ141"/>
      <c r="AK141"/>
      <c r="AL141"/>
      <c r="AM141"/>
      <c r="AN141"/>
      <c r="AO141"/>
      <c r="AP141"/>
      <c r="AQ141"/>
      <c r="AS141" s="55"/>
      <c r="AT141"/>
      <c r="AU141" s="41"/>
      <c r="AV141" s="16"/>
      <c r="AW141" s="16"/>
      <c r="AX141" s="16"/>
      <c r="AY141" s="16"/>
      <c r="AZ141" s="16"/>
      <c r="BA141" s="16"/>
      <c r="BB141" s="16"/>
      <c r="BC141" s="16"/>
      <c r="BD141" s="16"/>
      <c r="BE141" s="16"/>
      <c r="BF141" s="16"/>
      <c r="BG141" s="16"/>
      <c r="BH141" s="16"/>
      <c r="BI141"/>
      <c r="BJ141"/>
      <c r="BK141"/>
      <c r="BL141"/>
      <c r="BM141"/>
      <c r="BN141"/>
      <c r="BO141"/>
      <c r="BP141"/>
      <c r="BQ141" s="55"/>
      <c r="BR141"/>
      <c r="BS141"/>
      <c r="BT141"/>
      <c r="BU141"/>
      <c r="BV141"/>
      <c r="BW141"/>
      <c r="BX141"/>
      <c r="BY141"/>
      <c r="BZ141"/>
      <c r="CA141"/>
      <c r="CB141"/>
      <c r="CC141"/>
      <c r="CD141"/>
      <c r="CE141"/>
      <c r="CF141"/>
      <c r="CH141" s="55"/>
      <c r="CI141"/>
      <c r="CJ141" s="16"/>
      <c r="CK141" s="16"/>
      <c r="CL141" s="28"/>
      <c r="CM141" s="28"/>
      <c r="CN141" s="28"/>
      <c r="CO141" s="28"/>
      <c r="CP141" s="28"/>
      <c r="CQ141" s="28"/>
      <c r="CR141" s="28"/>
      <c r="CS141" s="28"/>
      <c r="CT141" s="28"/>
      <c r="CU141" s="28"/>
      <c r="CV141" s="28"/>
      <c r="CW141" s="28"/>
      <c r="CX141" s="28"/>
      <c r="CY141" s="28"/>
      <c r="CZ141" s="28"/>
      <c r="DA141" s="28"/>
      <c r="DB141" s="28"/>
      <c r="DC141" s="28"/>
      <c r="DD141" s="28"/>
      <c r="DF141" s="55"/>
      <c r="DX141" s="28"/>
    </row>
    <row r="142" spans="1:128" s="19" customFormat="1" ht="16" customHeight="1">
      <c r="A142" s="18"/>
      <c r="B142" s="17"/>
      <c r="C142" s="16"/>
      <c r="D142" s="16"/>
      <c r="E142" s="16"/>
      <c r="F142" s="16"/>
      <c r="G142" s="16"/>
      <c r="H142" s="20"/>
      <c r="I142" s="20"/>
      <c r="J142" s="20"/>
      <c r="K142" s="20"/>
      <c r="L142" s="20"/>
      <c r="M142" s="20"/>
      <c r="N142" s="20"/>
      <c r="O142" s="20"/>
      <c r="P142" s="20"/>
      <c r="Q142" s="20"/>
      <c r="R142" s="20"/>
      <c r="S142" s="20"/>
      <c r="T142"/>
      <c r="U142"/>
      <c r="V142"/>
      <c r="W142"/>
      <c r="X142"/>
      <c r="Y142"/>
      <c r="Z142" s="16"/>
      <c r="AA142" s="16"/>
      <c r="AB142" s="55"/>
      <c r="AC142"/>
      <c r="AD142"/>
      <c r="AE142"/>
      <c r="AF142"/>
      <c r="AG142"/>
      <c r="AH142"/>
      <c r="AI142"/>
      <c r="AJ142"/>
      <c r="AK142"/>
      <c r="AL142"/>
      <c r="AM142"/>
      <c r="AN142"/>
      <c r="AO142"/>
      <c r="AP142"/>
      <c r="AQ142"/>
      <c r="AS142" s="55"/>
      <c r="AT142"/>
      <c r="AU142" s="41"/>
      <c r="AV142" s="16"/>
      <c r="AW142" s="16"/>
      <c r="AX142" s="16"/>
      <c r="AY142" s="16"/>
      <c r="AZ142" s="16"/>
      <c r="BA142" s="16"/>
      <c r="BB142" s="16"/>
      <c r="BC142" s="16"/>
      <c r="BD142" s="16"/>
      <c r="BE142" s="16"/>
      <c r="BF142" s="16"/>
      <c r="BG142" s="16"/>
      <c r="BH142" s="16"/>
      <c r="BI142"/>
      <c r="BJ142"/>
      <c r="BK142"/>
      <c r="BL142"/>
      <c r="BM142"/>
      <c r="BN142"/>
      <c r="BO142"/>
      <c r="BP142"/>
      <c r="BQ142" s="55"/>
      <c r="BR142"/>
      <c r="BS142"/>
      <c r="BT142"/>
      <c r="BU142"/>
      <c r="BV142"/>
      <c r="BW142"/>
      <c r="BX142"/>
      <c r="BY142"/>
      <c r="BZ142"/>
      <c r="CA142"/>
      <c r="CB142"/>
      <c r="CC142"/>
      <c r="CD142"/>
      <c r="CE142"/>
      <c r="CF142"/>
      <c r="CH142" s="55"/>
      <c r="CI142"/>
      <c r="CJ142" s="16"/>
      <c r="CK142" s="16"/>
      <c r="CL142" s="28"/>
      <c r="CM142" s="28"/>
      <c r="CN142" s="28"/>
      <c r="CO142" s="28"/>
      <c r="CP142" s="28"/>
      <c r="CQ142" s="28"/>
      <c r="CR142" s="28"/>
      <c r="CS142" s="28"/>
      <c r="CT142" s="28"/>
      <c r="CU142" s="28"/>
      <c r="CV142" s="28"/>
      <c r="CW142" s="28"/>
      <c r="CX142" s="28"/>
      <c r="CY142" s="28"/>
      <c r="CZ142" s="28"/>
      <c r="DA142" s="28"/>
      <c r="DB142" s="28"/>
      <c r="DC142" s="28"/>
      <c r="DD142" s="28"/>
      <c r="DF142" s="55"/>
      <c r="DX142" s="28"/>
    </row>
    <row r="143" spans="1:128" s="19" customFormat="1" ht="16" customHeight="1">
      <c r="A143" s="18"/>
      <c r="B143" s="17"/>
      <c r="C143" s="16"/>
      <c r="D143" s="16"/>
      <c r="E143" s="16"/>
      <c r="F143" s="16"/>
      <c r="G143" s="16"/>
      <c r="H143" s="20"/>
      <c r="I143" s="20"/>
      <c r="J143" s="20"/>
      <c r="K143" s="20"/>
      <c r="L143" s="20"/>
      <c r="M143" s="20"/>
      <c r="N143" s="20"/>
      <c r="O143" s="20"/>
      <c r="P143" s="20"/>
      <c r="Q143" s="20"/>
      <c r="R143" s="20"/>
      <c r="S143" s="20"/>
      <c r="T143"/>
      <c r="U143"/>
      <c r="V143"/>
      <c r="W143"/>
      <c r="X143"/>
      <c r="Y143"/>
      <c r="Z143" s="16"/>
      <c r="AA143" s="16"/>
      <c r="AB143" s="55"/>
      <c r="AC143"/>
      <c r="AD143"/>
      <c r="AE143"/>
      <c r="AF143"/>
      <c r="AG143"/>
      <c r="AH143"/>
      <c r="AI143"/>
      <c r="AJ143"/>
      <c r="AK143"/>
      <c r="AL143"/>
      <c r="AM143"/>
      <c r="AN143"/>
      <c r="AO143"/>
      <c r="AP143"/>
      <c r="AQ143"/>
      <c r="AS143" s="55"/>
      <c r="AT143"/>
      <c r="AU143" s="41"/>
      <c r="AV143" s="16"/>
      <c r="AW143" s="16"/>
      <c r="AX143" s="16"/>
      <c r="AY143" s="16"/>
      <c r="AZ143" s="16"/>
      <c r="BA143" s="16"/>
      <c r="BB143" s="16"/>
      <c r="BC143" s="16"/>
      <c r="BD143" s="16"/>
      <c r="BE143" s="16"/>
      <c r="BF143" s="16"/>
      <c r="BG143" s="16"/>
      <c r="BH143" s="16"/>
      <c r="BI143"/>
      <c r="BJ143"/>
      <c r="BK143"/>
      <c r="BL143"/>
      <c r="BM143"/>
      <c r="BN143"/>
      <c r="BO143"/>
      <c r="BP143"/>
      <c r="BQ143" s="55"/>
      <c r="BR143"/>
      <c r="BS143"/>
      <c r="BT143"/>
      <c r="BU143"/>
      <c r="BV143"/>
      <c r="BW143"/>
      <c r="BX143"/>
      <c r="BY143"/>
      <c r="BZ143"/>
      <c r="CA143"/>
      <c r="CB143"/>
      <c r="CC143"/>
      <c r="CD143"/>
      <c r="CE143"/>
      <c r="CF143"/>
      <c r="CH143" s="55"/>
      <c r="CI143"/>
      <c r="CJ143" s="16"/>
      <c r="CK143" s="16"/>
      <c r="CL143" s="28"/>
      <c r="CM143" s="28"/>
      <c r="CN143" s="28"/>
      <c r="CO143" s="28"/>
      <c r="CP143" s="28"/>
      <c r="CQ143" s="28"/>
      <c r="CR143" s="28"/>
      <c r="CS143" s="28"/>
      <c r="CT143" s="28"/>
      <c r="CU143" s="28"/>
      <c r="CV143" s="28"/>
      <c r="CW143" s="28"/>
      <c r="CX143" s="28"/>
      <c r="CY143" s="28"/>
      <c r="CZ143" s="28"/>
      <c r="DA143" s="28"/>
      <c r="DB143" s="28"/>
      <c r="DC143" s="28"/>
      <c r="DD143" s="28"/>
      <c r="DF143" s="55"/>
      <c r="DX143" s="28"/>
    </row>
    <row r="144" spans="1:128" s="19" customFormat="1" ht="16" customHeight="1">
      <c r="A144" s="18"/>
      <c r="B144" s="17"/>
      <c r="C144" s="16"/>
      <c r="D144" s="16"/>
      <c r="E144" s="16"/>
      <c r="F144" s="16"/>
      <c r="G144" s="16"/>
      <c r="H144" s="20"/>
      <c r="I144" s="20"/>
      <c r="J144" s="20"/>
      <c r="K144" s="20"/>
      <c r="L144" s="20"/>
      <c r="M144" s="20"/>
      <c r="N144" s="20"/>
      <c r="O144" s="20"/>
      <c r="P144" s="20"/>
      <c r="Q144" s="20"/>
      <c r="R144" s="20"/>
      <c r="S144" s="20"/>
      <c r="T144"/>
      <c r="U144"/>
      <c r="V144"/>
      <c r="W144"/>
      <c r="X144"/>
      <c r="Y144"/>
      <c r="Z144" s="16"/>
      <c r="AA144" s="16"/>
      <c r="AB144" s="55"/>
      <c r="AC144"/>
      <c r="AD144"/>
      <c r="AE144"/>
      <c r="AF144"/>
      <c r="AG144"/>
      <c r="AH144"/>
      <c r="AI144"/>
      <c r="AJ144"/>
      <c r="AK144"/>
      <c r="AL144"/>
      <c r="AM144"/>
      <c r="AN144"/>
      <c r="AO144"/>
      <c r="AP144"/>
      <c r="AQ144"/>
      <c r="AS144" s="55"/>
      <c r="AT144"/>
      <c r="AU144" s="41"/>
      <c r="AV144" s="16"/>
      <c r="AW144" s="16"/>
      <c r="AX144" s="16"/>
      <c r="AY144" s="16"/>
      <c r="AZ144" s="16"/>
      <c r="BA144" s="16"/>
      <c r="BB144" s="16"/>
      <c r="BC144" s="16"/>
      <c r="BD144" s="16"/>
      <c r="BE144" s="16"/>
      <c r="BF144" s="16"/>
      <c r="BG144" s="16"/>
      <c r="BH144" s="16"/>
      <c r="BI144"/>
      <c r="BJ144"/>
      <c r="BK144"/>
      <c r="BL144"/>
      <c r="BM144"/>
      <c r="BN144"/>
      <c r="BO144"/>
      <c r="BP144"/>
      <c r="BQ144" s="55"/>
      <c r="BR144"/>
      <c r="BS144"/>
      <c r="BT144"/>
      <c r="BU144"/>
      <c r="BV144"/>
      <c r="BW144"/>
      <c r="BX144"/>
      <c r="BY144"/>
      <c r="BZ144"/>
      <c r="CA144"/>
      <c r="CB144"/>
      <c r="CC144"/>
      <c r="CD144"/>
      <c r="CE144"/>
      <c r="CF144"/>
      <c r="CH144" s="55"/>
      <c r="CI144"/>
      <c r="CJ144" s="16"/>
      <c r="CK144" s="16"/>
      <c r="CL144" s="28"/>
      <c r="CM144" s="28"/>
      <c r="CN144" s="28"/>
      <c r="CO144" s="28"/>
      <c r="CP144" s="28"/>
      <c r="CQ144" s="28"/>
      <c r="CR144" s="28"/>
      <c r="CS144" s="28"/>
      <c r="CT144" s="28"/>
      <c r="CU144" s="28"/>
      <c r="CV144" s="28"/>
      <c r="CW144" s="28"/>
      <c r="CX144" s="28"/>
      <c r="CY144" s="28"/>
      <c r="CZ144" s="28"/>
      <c r="DA144" s="28"/>
      <c r="DB144" s="28"/>
      <c r="DC144" s="28"/>
      <c r="DD144" s="28"/>
      <c r="DF144" s="55"/>
      <c r="DX144" s="28"/>
    </row>
    <row r="145" spans="1:128" s="19" customFormat="1" ht="16" customHeight="1">
      <c r="A145" s="18"/>
      <c r="B145" s="17"/>
      <c r="C145" s="16"/>
      <c r="D145" s="16"/>
      <c r="E145" s="16"/>
      <c r="F145" s="16"/>
      <c r="G145" s="16"/>
      <c r="H145" s="20"/>
      <c r="I145" s="20"/>
      <c r="J145" s="20"/>
      <c r="K145" s="20"/>
      <c r="L145" s="20"/>
      <c r="M145" s="20"/>
      <c r="N145" s="20"/>
      <c r="O145" s="20"/>
      <c r="P145" s="20"/>
      <c r="Q145" s="20"/>
      <c r="R145" s="20"/>
      <c r="S145" s="20"/>
      <c r="T145"/>
      <c r="U145"/>
      <c r="V145"/>
      <c r="W145"/>
      <c r="X145"/>
      <c r="Y145"/>
      <c r="Z145" s="16"/>
      <c r="AA145" s="16"/>
      <c r="AB145" s="55"/>
      <c r="AC145"/>
      <c r="AD145"/>
      <c r="AE145"/>
      <c r="AF145"/>
      <c r="AG145"/>
      <c r="AH145"/>
      <c r="AI145"/>
      <c r="AJ145"/>
      <c r="AK145"/>
      <c r="AL145"/>
      <c r="AM145"/>
      <c r="AN145"/>
      <c r="AO145"/>
      <c r="AP145"/>
      <c r="AQ145"/>
      <c r="AS145" s="55"/>
      <c r="AT145"/>
      <c r="AU145" s="41"/>
      <c r="AV145" s="16"/>
      <c r="AW145" s="16"/>
      <c r="AX145" s="16"/>
      <c r="AY145" s="16"/>
      <c r="AZ145" s="16"/>
      <c r="BA145" s="16"/>
      <c r="BB145" s="16"/>
      <c r="BC145" s="16"/>
      <c r="BD145" s="16"/>
      <c r="BE145" s="16"/>
      <c r="BF145" s="16"/>
      <c r="BG145" s="16"/>
      <c r="BH145" s="16"/>
      <c r="BI145"/>
      <c r="BJ145"/>
      <c r="BK145"/>
      <c r="BL145"/>
      <c r="BM145"/>
      <c r="BN145"/>
      <c r="BO145"/>
      <c r="BP145"/>
      <c r="BQ145" s="55"/>
      <c r="BR145"/>
      <c r="BS145"/>
      <c r="BT145"/>
      <c r="BU145"/>
      <c r="BV145"/>
      <c r="BW145"/>
      <c r="BX145"/>
      <c r="BY145"/>
      <c r="BZ145"/>
      <c r="CA145"/>
      <c r="CB145"/>
      <c r="CC145"/>
      <c r="CD145"/>
      <c r="CE145"/>
      <c r="CF145"/>
      <c r="CH145" s="55"/>
      <c r="CI145"/>
      <c r="CJ145" s="16"/>
      <c r="CK145" s="16"/>
      <c r="CL145" s="28"/>
      <c r="CM145" s="28"/>
      <c r="CN145" s="28"/>
      <c r="CO145" s="28"/>
      <c r="CP145" s="28"/>
      <c r="CQ145" s="28"/>
      <c r="CR145" s="28"/>
      <c r="CS145" s="28"/>
      <c r="CT145" s="28"/>
      <c r="CU145" s="28"/>
      <c r="CV145" s="28"/>
      <c r="CW145" s="28"/>
      <c r="CX145" s="28"/>
      <c r="CY145" s="28"/>
      <c r="CZ145" s="28"/>
      <c r="DA145" s="28"/>
      <c r="DB145" s="28"/>
      <c r="DC145" s="28"/>
      <c r="DD145" s="28"/>
      <c r="DF145" s="55"/>
      <c r="DX145" s="28"/>
    </row>
    <row r="146" spans="1:128" s="19" customFormat="1" ht="16" customHeight="1">
      <c r="A146" s="18"/>
      <c r="B146" s="17"/>
      <c r="C146" s="16"/>
      <c r="D146" s="16"/>
      <c r="E146" s="16"/>
      <c r="F146" s="16"/>
      <c r="G146" s="16"/>
      <c r="H146" s="20"/>
      <c r="I146" s="20"/>
      <c r="J146" s="20"/>
      <c r="K146" s="20"/>
      <c r="L146" s="20"/>
      <c r="M146" s="20"/>
      <c r="N146" s="20"/>
      <c r="O146" s="20"/>
      <c r="P146" s="20"/>
      <c r="Q146" s="20"/>
      <c r="R146" s="20"/>
      <c r="S146" s="20"/>
      <c r="T146"/>
      <c r="U146"/>
      <c r="V146"/>
      <c r="W146"/>
      <c r="X146"/>
      <c r="Y146"/>
      <c r="Z146" s="16"/>
      <c r="AA146" s="16"/>
      <c r="AB146" s="55"/>
      <c r="AC146"/>
      <c r="AD146"/>
      <c r="AE146"/>
      <c r="AF146"/>
      <c r="AG146"/>
      <c r="AH146"/>
      <c r="AI146"/>
      <c r="AJ146"/>
      <c r="AK146"/>
      <c r="AL146"/>
      <c r="AM146"/>
      <c r="AN146"/>
      <c r="AO146"/>
      <c r="AP146"/>
      <c r="AQ146"/>
      <c r="AS146" s="55"/>
      <c r="AT146"/>
      <c r="AU146" s="41"/>
      <c r="AV146" s="16"/>
      <c r="AW146" s="16"/>
      <c r="AX146" s="16"/>
      <c r="AY146" s="16"/>
      <c r="AZ146" s="16"/>
      <c r="BA146" s="16"/>
      <c r="BB146" s="16"/>
      <c r="BC146" s="16"/>
      <c r="BD146" s="16"/>
      <c r="BE146" s="16"/>
      <c r="BF146" s="16"/>
      <c r="BG146" s="16"/>
      <c r="BH146" s="16"/>
      <c r="BI146"/>
      <c r="BJ146"/>
      <c r="BK146"/>
      <c r="BL146"/>
      <c r="BM146"/>
      <c r="BN146"/>
      <c r="BO146"/>
      <c r="BP146"/>
      <c r="BQ146" s="55"/>
      <c r="BR146"/>
      <c r="BS146"/>
      <c r="BT146"/>
      <c r="BU146"/>
      <c r="BV146"/>
      <c r="BW146"/>
      <c r="BX146"/>
      <c r="BY146"/>
      <c r="BZ146"/>
      <c r="CA146"/>
      <c r="CB146"/>
      <c r="CC146"/>
      <c r="CD146"/>
      <c r="CE146"/>
      <c r="CF146"/>
      <c r="CH146" s="55"/>
      <c r="CI146"/>
      <c r="CJ146" s="16"/>
      <c r="CK146" s="16"/>
      <c r="CL146" s="28"/>
      <c r="CM146" s="28"/>
      <c r="CN146" s="28"/>
      <c r="CO146" s="28"/>
      <c r="CP146" s="28"/>
      <c r="CQ146" s="28"/>
      <c r="CR146" s="28"/>
      <c r="CS146" s="28"/>
      <c r="CT146" s="28"/>
      <c r="CU146" s="28"/>
      <c r="CV146" s="28"/>
      <c r="CW146" s="28"/>
      <c r="CX146" s="28"/>
      <c r="CY146" s="28"/>
      <c r="CZ146" s="28"/>
      <c r="DA146" s="28"/>
      <c r="DB146" s="28"/>
      <c r="DC146" s="28"/>
      <c r="DD146" s="28"/>
      <c r="DF146" s="55"/>
      <c r="DX146" s="28"/>
    </row>
    <row r="147" spans="1:128" s="19" customFormat="1" ht="16" customHeight="1">
      <c r="A147" s="18"/>
      <c r="B147" s="17"/>
      <c r="C147" s="16"/>
      <c r="D147" s="16"/>
      <c r="E147" s="16"/>
      <c r="F147" s="16"/>
      <c r="G147" s="16"/>
      <c r="H147" s="20"/>
      <c r="I147" s="20"/>
      <c r="J147" s="20"/>
      <c r="K147" s="20"/>
      <c r="L147" s="20"/>
      <c r="M147" s="20"/>
      <c r="N147" s="20"/>
      <c r="O147" s="20"/>
      <c r="P147" s="20"/>
      <c r="Q147" s="20"/>
      <c r="R147" s="20"/>
      <c r="S147" s="20"/>
      <c r="T147"/>
      <c r="U147"/>
      <c r="V147"/>
      <c r="W147"/>
      <c r="X147"/>
      <c r="Y147"/>
      <c r="Z147" s="16"/>
      <c r="AA147" s="16"/>
      <c r="AB147" s="55"/>
      <c r="AC147"/>
      <c r="AD147"/>
      <c r="AE147"/>
      <c r="AF147"/>
      <c r="AG147"/>
      <c r="AH147"/>
      <c r="AI147"/>
      <c r="AJ147"/>
      <c r="AK147"/>
      <c r="AL147"/>
      <c r="AM147"/>
      <c r="AN147"/>
      <c r="AO147"/>
      <c r="AP147"/>
      <c r="AQ147"/>
      <c r="AS147" s="55"/>
      <c r="AT147"/>
      <c r="AU147" s="41"/>
      <c r="AV147" s="16"/>
      <c r="AW147" s="16"/>
      <c r="AX147" s="16"/>
      <c r="AY147" s="16"/>
      <c r="AZ147" s="16"/>
      <c r="BA147" s="16"/>
      <c r="BB147" s="16"/>
      <c r="BC147" s="16"/>
      <c r="BD147" s="16"/>
      <c r="BE147" s="16"/>
      <c r="BF147" s="16"/>
      <c r="BG147" s="16"/>
      <c r="BH147" s="16"/>
      <c r="BI147"/>
      <c r="BJ147"/>
      <c r="BK147"/>
      <c r="BL147"/>
      <c r="BM147"/>
      <c r="BN147"/>
      <c r="BO147"/>
      <c r="BP147"/>
      <c r="BQ147" s="55"/>
      <c r="BR147"/>
      <c r="BS147"/>
      <c r="BT147"/>
      <c r="BU147"/>
      <c r="BV147"/>
      <c r="BW147"/>
      <c r="BX147"/>
      <c r="BY147"/>
      <c r="BZ147"/>
      <c r="CA147"/>
      <c r="CB147"/>
      <c r="CC147"/>
      <c r="CD147"/>
      <c r="CE147"/>
      <c r="CF147"/>
      <c r="CH147" s="55"/>
      <c r="CI147"/>
      <c r="CJ147" s="16"/>
      <c r="CK147" s="16"/>
      <c r="CL147" s="28"/>
      <c r="CM147" s="28"/>
      <c r="CN147" s="28"/>
      <c r="CO147" s="28"/>
      <c r="CP147" s="28"/>
      <c r="CQ147" s="28"/>
      <c r="CR147" s="28"/>
      <c r="CS147" s="28"/>
      <c r="CT147" s="28"/>
      <c r="CU147" s="28"/>
      <c r="CV147" s="28"/>
      <c r="CW147" s="28"/>
      <c r="CX147" s="28"/>
      <c r="CY147" s="28"/>
      <c r="CZ147" s="28"/>
      <c r="DA147" s="28"/>
      <c r="DB147" s="28"/>
      <c r="DC147" s="28"/>
      <c r="DD147" s="28"/>
      <c r="DF147" s="55"/>
      <c r="DX147" s="28"/>
    </row>
    <row r="148" spans="1:128" s="19" customFormat="1" ht="16" customHeight="1">
      <c r="A148" s="18"/>
      <c r="B148" s="17"/>
      <c r="C148" s="16"/>
      <c r="D148" s="16"/>
      <c r="E148" s="16"/>
      <c r="F148" s="16"/>
      <c r="G148" s="16"/>
      <c r="H148" s="20"/>
      <c r="I148" s="20"/>
      <c r="J148" s="20"/>
      <c r="K148" s="20"/>
      <c r="L148" s="20"/>
      <c r="M148" s="20"/>
      <c r="N148" s="20"/>
      <c r="O148" s="20"/>
      <c r="P148" s="20"/>
      <c r="Q148" s="20"/>
      <c r="R148" s="20"/>
      <c r="S148" s="20"/>
      <c r="T148"/>
      <c r="U148"/>
      <c r="V148"/>
      <c r="W148"/>
      <c r="X148"/>
      <c r="Y148"/>
      <c r="Z148" s="16"/>
      <c r="AA148" s="16"/>
      <c r="AB148" s="55"/>
      <c r="AC148"/>
      <c r="AD148"/>
      <c r="AE148"/>
      <c r="AF148"/>
      <c r="AG148"/>
      <c r="AH148"/>
      <c r="AI148"/>
      <c r="AJ148"/>
      <c r="AK148"/>
      <c r="AL148"/>
      <c r="AM148"/>
      <c r="AN148"/>
      <c r="AO148"/>
      <c r="AP148"/>
      <c r="AQ148"/>
      <c r="AS148" s="55"/>
      <c r="AT148"/>
      <c r="AU148" s="41"/>
      <c r="AV148" s="16"/>
      <c r="AW148" s="16"/>
      <c r="AX148" s="16"/>
      <c r="AY148" s="16"/>
      <c r="AZ148" s="16"/>
      <c r="BA148" s="16"/>
      <c r="BB148" s="16"/>
      <c r="BC148" s="16"/>
      <c r="BD148" s="16"/>
      <c r="BE148" s="16"/>
      <c r="BF148" s="16"/>
      <c r="BG148" s="16"/>
      <c r="BH148" s="16"/>
      <c r="BI148"/>
      <c r="BJ148"/>
      <c r="BK148"/>
      <c r="BL148"/>
      <c r="BM148"/>
      <c r="BN148"/>
      <c r="BO148"/>
      <c r="BP148"/>
      <c r="BQ148" s="55"/>
      <c r="BR148"/>
      <c r="BS148"/>
      <c r="BT148"/>
      <c r="BU148"/>
      <c r="BV148"/>
      <c r="BW148"/>
      <c r="BX148"/>
      <c r="BY148"/>
      <c r="BZ148"/>
      <c r="CA148"/>
      <c r="CB148"/>
      <c r="CC148"/>
      <c r="CD148"/>
      <c r="CE148"/>
      <c r="CF148"/>
      <c r="CH148" s="55"/>
      <c r="CI148"/>
      <c r="CJ148" s="16"/>
      <c r="CK148" s="16"/>
      <c r="CL148" s="28"/>
      <c r="CM148" s="28"/>
      <c r="CN148" s="28"/>
      <c r="CO148" s="28"/>
      <c r="CP148" s="28"/>
      <c r="CQ148" s="28"/>
      <c r="CR148" s="28"/>
      <c r="CS148" s="28"/>
      <c r="CT148" s="28"/>
      <c r="CU148" s="28"/>
      <c r="CV148" s="28"/>
      <c r="CW148" s="28"/>
      <c r="CX148" s="28"/>
      <c r="CY148" s="28"/>
      <c r="CZ148" s="28"/>
      <c r="DA148" s="28"/>
      <c r="DB148" s="28"/>
      <c r="DC148" s="28"/>
      <c r="DD148" s="28"/>
      <c r="DF148" s="55"/>
      <c r="DX148" s="28"/>
    </row>
    <row r="149" spans="1:128" s="19" customFormat="1" ht="16" customHeight="1">
      <c r="A149" s="18"/>
      <c r="B149" s="17"/>
      <c r="C149" s="16"/>
      <c r="D149" s="16"/>
      <c r="E149" s="16"/>
      <c r="F149" s="16"/>
      <c r="G149" s="16"/>
      <c r="H149" s="20"/>
      <c r="I149" s="20"/>
      <c r="J149" s="20"/>
      <c r="K149" s="20"/>
      <c r="L149" s="20"/>
      <c r="M149" s="20"/>
      <c r="N149" s="20"/>
      <c r="O149" s="20"/>
      <c r="P149" s="20"/>
      <c r="Q149" s="20"/>
      <c r="R149" s="20"/>
      <c r="S149" s="20"/>
      <c r="T149"/>
      <c r="U149"/>
      <c r="V149"/>
      <c r="W149"/>
      <c r="X149"/>
      <c r="Y149"/>
      <c r="Z149" s="16"/>
      <c r="AA149" s="16"/>
      <c r="AB149" s="55"/>
      <c r="AC149"/>
      <c r="AD149"/>
      <c r="AE149"/>
      <c r="AF149"/>
      <c r="AG149"/>
      <c r="AH149"/>
      <c r="AI149"/>
      <c r="AJ149"/>
      <c r="AK149"/>
      <c r="AL149"/>
      <c r="AM149"/>
      <c r="AN149"/>
      <c r="AO149"/>
      <c r="AP149"/>
      <c r="AQ149"/>
      <c r="AS149" s="55"/>
      <c r="AT149"/>
      <c r="AU149" s="41"/>
      <c r="AV149" s="16"/>
      <c r="AW149" s="16"/>
      <c r="AX149" s="16"/>
      <c r="AY149" s="16"/>
      <c r="AZ149" s="16"/>
      <c r="BA149" s="16"/>
      <c r="BB149" s="16"/>
      <c r="BC149" s="16"/>
      <c r="BD149" s="16"/>
      <c r="BE149" s="16"/>
      <c r="BF149" s="16"/>
      <c r="BG149" s="16"/>
      <c r="BH149" s="16"/>
      <c r="BI149"/>
      <c r="BJ149"/>
      <c r="BK149"/>
      <c r="BL149"/>
      <c r="BM149"/>
      <c r="BN149"/>
      <c r="BO149"/>
      <c r="BP149"/>
      <c r="BQ149" s="55"/>
      <c r="BR149"/>
      <c r="BS149"/>
      <c r="BT149"/>
      <c r="BU149"/>
      <c r="BV149"/>
      <c r="BW149"/>
      <c r="BX149"/>
      <c r="BY149"/>
      <c r="BZ149"/>
      <c r="CA149"/>
      <c r="CB149"/>
      <c r="CC149"/>
      <c r="CD149"/>
      <c r="CE149"/>
      <c r="CF149"/>
      <c r="CH149" s="55"/>
      <c r="CI149"/>
      <c r="CJ149" s="16"/>
      <c r="CK149" s="16"/>
      <c r="CL149" s="28"/>
      <c r="CM149" s="28"/>
      <c r="CN149" s="28"/>
      <c r="CO149" s="28"/>
      <c r="CP149" s="28"/>
      <c r="CQ149" s="28"/>
      <c r="CR149" s="28"/>
      <c r="CS149" s="28"/>
      <c r="CT149" s="28"/>
      <c r="CU149" s="28"/>
      <c r="CV149" s="28"/>
      <c r="CW149" s="28"/>
      <c r="CX149" s="28"/>
      <c r="CY149" s="28"/>
      <c r="CZ149" s="28"/>
      <c r="DA149" s="28"/>
      <c r="DB149" s="28"/>
      <c r="DC149" s="28"/>
      <c r="DD149" s="28"/>
      <c r="DF149" s="55"/>
      <c r="DX149" s="28"/>
    </row>
    <row r="150" spans="1:128" s="19" customFormat="1" ht="16" customHeight="1">
      <c r="A150" s="18"/>
      <c r="B150" s="17"/>
      <c r="C150" s="16"/>
      <c r="D150" s="16"/>
      <c r="E150" s="16"/>
      <c r="F150" s="16"/>
      <c r="G150" s="16"/>
      <c r="H150" s="20"/>
      <c r="I150" s="20"/>
      <c r="J150" s="20"/>
      <c r="K150" s="20"/>
      <c r="L150" s="20"/>
      <c r="M150" s="20"/>
      <c r="N150" s="20"/>
      <c r="O150" s="20"/>
      <c r="P150" s="20"/>
      <c r="Q150" s="20"/>
      <c r="R150" s="20"/>
      <c r="S150" s="20"/>
      <c r="T150"/>
      <c r="U150"/>
      <c r="V150"/>
      <c r="W150"/>
      <c r="X150"/>
      <c r="Y150"/>
      <c r="Z150" s="16"/>
      <c r="AA150" s="16"/>
      <c r="AB150" s="55"/>
      <c r="AC150"/>
      <c r="AD150"/>
      <c r="AE150"/>
      <c r="AF150"/>
      <c r="AG150"/>
      <c r="AH150"/>
      <c r="AI150"/>
      <c r="AJ150"/>
      <c r="AK150"/>
      <c r="AL150"/>
      <c r="AM150"/>
      <c r="AN150"/>
      <c r="AO150"/>
      <c r="AP150"/>
      <c r="AQ150"/>
      <c r="AS150" s="55"/>
      <c r="AT150"/>
      <c r="AU150" s="41"/>
      <c r="AV150" s="16"/>
      <c r="AW150" s="16"/>
      <c r="AX150" s="16"/>
      <c r="AY150" s="16"/>
      <c r="AZ150" s="16"/>
      <c r="BA150" s="16"/>
      <c r="BB150" s="16"/>
      <c r="BC150" s="16"/>
      <c r="BD150" s="16"/>
      <c r="BE150" s="16"/>
      <c r="BF150" s="16"/>
      <c r="BG150" s="16"/>
      <c r="BH150" s="16"/>
      <c r="BI150"/>
      <c r="BJ150"/>
      <c r="BK150"/>
      <c r="BL150"/>
      <c r="BM150"/>
      <c r="BN150"/>
      <c r="BO150"/>
      <c r="BP150"/>
      <c r="BQ150" s="55"/>
      <c r="BR150"/>
      <c r="BS150"/>
      <c r="BT150"/>
      <c r="BU150"/>
      <c r="BV150"/>
      <c r="BW150"/>
      <c r="BX150"/>
      <c r="BY150"/>
      <c r="BZ150"/>
      <c r="CA150"/>
      <c r="CB150"/>
      <c r="CC150"/>
      <c r="CD150"/>
      <c r="CE150"/>
      <c r="CF150"/>
      <c r="CH150" s="55"/>
      <c r="CI150"/>
      <c r="CJ150" s="16"/>
      <c r="CK150" s="16"/>
      <c r="CL150" s="28"/>
      <c r="CM150" s="28"/>
      <c r="CN150" s="28"/>
      <c r="CO150" s="28"/>
      <c r="CP150" s="28"/>
      <c r="CQ150" s="28"/>
      <c r="CR150" s="28"/>
      <c r="CS150" s="28"/>
      <c r="CT150" s="28"/>
      <c r="CU150" s="28"/>
      <c r="CV150" s="28"/>
      <c r="CW150" s="28"/>
      <c r="CX150" s="28"/>
      <c r="CY150" s="28"/>
      <c r="CZ150" s="28"/>
      <c r="DA150" s="28"/>
      <c r="DB150" s="28"/>
      <c r="DC150" s="28"/>
      <c r="DD150" s="28"/>
      <c r="DF150" s="55"/>
      <c r="DX150" s="28"/>
    </row>
    <row r="151" spans="1:128" s="19" customFormat="1" ht="16" customHeight="1">
      <c r="A151" s="18"/>
      <c r="B151" s="17"/>
      <c r="C151" s="16"/>
      <c r="D151" s="16"/>
      <c r="E151" s="16"/>
      <c r="F151" s="16"/>
      <c r="G151" s="16"/>
      <c r="H151" s="20"/>
      <c r="I151" s="20"/>
      <c r="J151" s="20"/>
      <c r="K151" s="20"/>
      <c r="L151" s="20"/>
      <c r="M151" s="20"/>
      <c r="N151" s="20"/>
      <c r="O151" s="20"/>
      <c r="P151" s="20"/>
      <c r="Q151" s="20"/>
      <c r="R151" s="20"/>
      <c r="S151" s="20"/>
      <c r="T151"/>
      <c r="U151"/>
      <c r="V151"/>
      <c r="W151"/>
      <c r="X151"/>
      <c r="Y151"/>
      <c r="Z151" s="16"/>
      <c r="AA151" s="16"/>
      <c r="AB151" s="55"/>
      <c r="AC151"/>
      <c r="AD151"/>
      <c r="AE151"/>
      <c r="AF151"/>
      <c r="AG151"/>
      <c r="AH151"/>
      <c r="AI151"/>
      <c r="AJ151"/>
      <c r="AK151"/>
      <c r="AL151"/>
      <c r="AM151"/>
      <c r="AN151"/>
      <c r="AO151"/>
      <c r="AP151"/>
      <c r="AQ151"/>
      <c r="AS151" s="55"/>
      <c r="AT151"/>
      <c r="AU151" s="41"/>
      <c r="AV151" s="16"/>
      <c r="AW151" s="16"/>
      <c r="AX151" s="16"/>
      <c r="AY151" s="16"/>
      <c r="AZ151" s="16"/>
      <c r="BA151" s="16"/>
      <c r="BB151" s="16"/>
      <c r="BC151" s="16"/>
      <c r="BD151" s="16"/>
      <c r="BE151" s="16"/>
      <c r="BF151" s="16"/>
      <c r="BG151" s="16"/>
      <c r="BH151" s="16"/>
      <c r="BI151"/>
      <c r="BJ151"/>
      <c r="BK151"/>
      <c r="BL151"/>
      <c r="BM151"/>
      <c r="BN151"/>
      <c r="BO151"/>
      <c r="BP151"/>
      <c r="BQ151" s="55"/>
      <c r="BR151"/>
      <c r="BS151"/>
      <c r="BT151"/>
      <c r="BU151"/>
      <c r="BV151"/>
      <c r="BW151"/>
      <c r="BX151"/>
      <c r="BY151"/>
      <c r="BZ151"/>
      <c r="CA151"/>
      <c r="CB151"/>
      <c r="CC151"/>
      <c r="CD151"/>
      <c r="CE151"/>
      <c r="CF151"/>
      <c r="CH151" s="55"/>
      <c r="CI151"/>
      <c r="CJ151" s="16"/>
      <c r="CK151" s="16"/>
      <c r="CL151" s="28"/>
      <c r="CM151" s="28"/>
      <c r="CN151" s="28"/>
      <c r="CO151" s="28"/>
      <c r="CP151" s="28"/>
      <c r="CQ151" s="28"/>
      <c r="CR151" s="28"/>
      <c r="CS151" s="28"/>
      <c r="CT151" s="28"/>
      <c r="CU151" s="28"/>
      <c r="CV151" s="28"/>
      <c r="CW151" s="28"/>
      <c r="CX151" s="28"/>
      <c r="CY151" s="28"/>
      <c r="CZ151" s="28"/>
      <c r="DA151" s="28"/>
      <c r="DB151" s="28"/>
      <c r="DC151" s="28"/>
      <c r="DD151" s="28"/>
      <c r="DF151" s="55"/>
      <c r="DX151" s="28"/>
    </row>
    <row r="152" spans="1:128" s="19" customFormat="1" ht="16" customHeight="1">
      <c r="A152" s="18"/>
      <c r="B152" s="17"/>
      <c r="C152" s="16"/>
      <c r="D152" s="16"/>
      <c r="E152" s="16"/>
      <c r="F152" s="16"/>
      <c r="G152" s="16"/>
      <c r="H152" s="20"/>
      <c r="I152" s="20"/>
      <c r="J152" s="20"/>
      <c r="K152" s="20"/>
      <c r="L152" s="20"/>
      <c r="M152" s="20"/>
      <c r="N152" s="20"/>
      <c r="O152" s="20"/>
      <c r="P152" s="20"/>
      <c r="Q152" s="20"/>
      <c r="R152" s="20"/>
      <c r="S152" s="20"/>
      <c r="T152"/>
      <c r="U152"/>
      <c r="V152"/>
      <c r="W152"/>
      <c r="X152"/>
      <c r="Y152"/>
      <c r="Z152" s="16"/>
      <c r="AA152" s="16"/>
      <c r="AB152" s="55"/>
      <c r="AC152"/>
      <c r="AD152"/>
      <c r="AE152"/>
      <c r="AF152"/>
      <c r="AG152"/>
      <c r="AH152"/>
      <c r="AI152"/>
      <c r="AJ152"/>
      <c r="AK152"/>
      <c r="AL152"/>
      <c r="AM152"/>
      <c r="AN152"/>
      <c r="AO152"/>
      <c r="AP152"/>
      <c r="AQ152"/>
      <c r="AS152" s="55"/>
      <c r="AT152"/>
      <c r="AU152" s="41"/>
      <c r="AV152" s="16"/>
      <c r="AW152" s="16"/>
      <c r="AX152" s="16"/>
      <c r="AY152" s="16"/>
      <c r="AZ152" s="16"/>
      <c r="BA152" s="16"/>
      <c r="BB152" s="16"/>
      <c r="BC152" s="16"/>
      <c r="BD152" s="16"/>
      <c r="BE152" s="16"/>
      <c r="BF152" s="16"/>
      <c r="BG152" s="16"/>
      <c r="BH152" s="16"/>
      <c r="BI152"/>
      <c r="BJ152"/>
      <c r="BK152"/>
      <c r="BL152"/>
      <c r="BM152"/>
      <c r="BN152"/>
      <c r="BO152"/>
      <c r="BP152"/>
      <c r="BQ152" s="55"/>
      <c r="BR152"/>
      <c r="BS152"/>
      <c r="BT152"/>
      <c r="BU152"/>
      <c r="BV152"/>
      <c r="BW152"/>
      <c r="BX152"/>
      <c r="BY152"/>
      <c r="BZ152"/>
      <c r="CA152"/>
      <c r="CB152"/>
      <c r="CC152"/>
      <c r="CD152"/>
      <c r="CE152"/>
      <c r="CF152"/>
      <c r="CH152" s="55"/>
      <c r="CI152"/>
      <c r="CJ152" s="16"/>
      <c r="CK152" s="16"/>
      <c r="CL152" s="28"/>
      <c r="CM152" s="28"/>
      <c r="CN152" s="28"/>
      <c r="CO152" s="28"/>
      <c r="CP152" s="28"/>
      <c r="CQ152" s="28"/>
      <c r="CR152" s="28"/>
      <c r="CS152" s="28"/>
      <c r="CT152" s="28"/>
      <c r="CU152" s="28"/>
      <c r="CV152" s="28"/>
      <c r="CW152" s="28"/>
      <c r="CX152" s="28"/>
      <c r="CY152" s="28"/>
      <c r="CZ152" s="28"/>
      <c r="DA152" s="28"/>
      <c r="DB152" s="28"/>
      <c r="DC152" s="28"/>
      <c r="DD152" s="28"/>
      <c r="DF152" s="55"/>
      <c r="DX152" s="28"/>
    </row>
    <row r="153" spans="1:128" s="19" customFormat="1" ht="16" customHeight="1">
      <c r="A153" s="18"/>
      <c r="B153" s="17"/>
      <c r="C153" s="16"/>
      <c r="D153" s="16"/>
      <c r="E153" s="16"/>
      <c r="F153" s="16"/>
      <c r="G153" s="16"/>
      <c r="H153" s="20"/>
      <c r="I153" s="20"/>
      <c r="J153" s="20"/>
      <c r="K153" s="20"/>
      <c r="L153" s="20"/>
      <c r="M153" s="20"/>
      <c r="N153" s="20"/>
      <c r="O153" s="20"/>
      <c r="P153" s="20"/>
      <c r="Q153" s="20"/>
      <c r="R153" s="20"/>
      <c r="S153" s="20"/>
      <c r="T153"/>
      <c r="U153"/>
      <c r="V153"/>
      <c r="W153"/>
      <c r="X153"/>
      <c r="Y153"/>
      <c r="Z153" s="16"/>
      <c r="AA153" s="16"/>
      <c r="AB153" s="55"/>
      <c r="AC153"/>
      <c r="AD153"/>
      <c r="AE153"/>
      <c r="AF153"/>
      <c r="AG153"/>
      <c r="AH153"/>
      <c r="AI153"/>
      <c r="AJ153"/>
      <c r="AK153"/>
      <c r="AL153"/>
      <c r="AM153"/>
      <c r="AN153"/>
      <c r="AO153"/>
      <c r="AP153"/>
      <c r="AQ153"/>
      <c r="AS153" s="55"/>
      <c r="AT153"/>
      <c r="AU153" s="41"/>
      <c r="AV153" s="16"/>
      <c r="AW153" s="16"/>
      <c r="AX153" s="16"/>
      <c r="AY153" s="16"/>
      <c r="AZ153" s="16"/>
      <c r="BA153" s="16"/>
      <c r="BB153" s="16"/>
      <c r="BC153" s="16"/>
      <c r="BD153" s="16"/>
      <c r="BE153" s="16"/>
      <c r="BF153" s="16"/>
      <c r="BG153" s="16"/>
      <c r="BH153" s="16"/>
      <c r="BI153"/>
      <c r="BJ153"/>
      <c r="BK153"/>
      <c r="BL153"/>
      <c r="BM153"/>
      <c r="BN153"/>
      <c r="BO153"/>
      <c r="BP153"/>
      <c r="BQ153" s="55"/>
      <c r="BR153"/>
      <c r="BS153"/>
      <c r="BT153"/>
      <c r="BU153"/>
      <c r="BV153"/>
      <c r="BW153"/>
      <c r="BX153"/>
      <c r="BY153"/>
      <c r="BZ153"/>
      <c r="CA153"/>
      <c r="CB153"/>
      <c r="CC153"/>
      <c r="CD153"/>
      <c r="CE153"/>
      <c r="CF153"/>
      <c r="CH153" s="55"/>
      <c r="CI153"/>
      <c r="CJ153" s="16"/>
      <c r="CK153" s="16"/>
      <c r="CL153" s="28"/>
      <c r="CM153" s="28"/>
      <c r="CN153" s="28"/>
      <c r="CO153" s="28"/>
      <c r="CP153" s="28"/>
      <c r="CQ153" s="28"/>
      <c r="CR153" s="28"/>
      <c r="CS153" s="28"/>
      <c r="CT153" s="28"/>
      <c r="CU153" s="28"/>
      <c r="CV153" s="28"/>
      <c r="CW153" s="28"/>
      <c r="CX153" s="28"/>
      <c r="CY153" s="28"/>
      <c r="CZ153" s="28"/>
      <c r="DA153" s="28"/>
      <c r="DB153" s="28"/>
      <c r="DC153" s="28"/>
      <c r="DD153" s="28"/>
      <c r="DF153" s="55"/>
      <c r="DX153" s="28"/>
    </row>
    <row r="154" spans="1:128" s="19" customFormat="1" ht="16" customHeight="1">
      <c r="A154" s="18"/>
      <c r="B154" s="17"/>
      <c r="C154" s="16"/>
      <c r="D154" s="16"/>
      <c r="E154" s="16"/>
      <c r="F154" s="16"/>
      <c r="G154" s="16"/>
      <c r="H154" s="20"/>
      <c r="I154" s="20"/>
      <c r="J154" s="20"/>
      <c r="K154" s="20"/>
      <c r="L154" s="20"/>
      <c r="M154" s="20"/>
      <c r="N154" s="20"/>
      <c r="O154" s="20"/>
      <c r="P154" s="20"/>
      <c r="Q154" s="20"/>
      <c r="R154" s="20"/>
      <c r="S154" s="20"/>
      <c r="T154"/>
      <c r="U154"/>
      <c r="V154"/>
      <c r="W154"/>
      <c r="X154"/>
      <c r="Y154"/>
      <c r="Z154" s="16"/>
      <c r="AA154" s="16"/>
      <c r="AB154" s="55"/>
      <c r="AC154"/>
      <c r="AD154"/>
      <c r="AE154"/>
      <c r="AF154"/>
      <c r="AG154"/>
      <c r="AH154"/>
      <c r="AI154"/>
      <c r="AJ154"/>
      <c r="AK154"/>
      <c r="AL154"/>
      <c r="AM154"/>
      <c r="AN154"/>
      <c r="AO154"/>
      <c r="AP154"/>
      <c r="AQ154"/>
      <c r="AS154" s="55"/>
      <c r="AT154"/>
      <c r="AU154" s="41"/>
      <c r="AV154" s="16"/>
      <c r="AW154" s="16"/>
      <c r="AX154" s="16"/>
      <c r="AY154" s="16"/>
      <c r="AZ154" s="16"/>
      <c r="BA154" s="16"/>
      <c r="BB154" s="16"/>
      <c r="BC154" s="16"/>
      <c r="BD154" s="16"/>
      <c r="BE154" s="16"/>
      <c r="BF154" s="16"/>
      <c r="BG154" s="16"/>
      <c r="BH154" s="16"/>
      <c r="BI154"/>
      <c r="BJ154"/>
      <c r="BK154"/>
      <c r="BL154"/>
      <c r="BM154"/>
      <c r="BN154"/>
      <c r="BO154"/>
      <c r="BP154"/>
      <c r="BQ154" s="55"/>
      <c r="BR154"/>
      <c r="BS154"/>
      <c r="BT154"/>
      <c r="BU154"/>
      <c r="BV154"/>
      <c r="BW154"/>
      <c r="BX154"/>
      <c r="BY154"/>
      <c r="BZ154"/>
      <c r="CA154"/>
      <c r="CB154"/>
      <c r="CC154"/>
      <c r="CD154"/>
      <c r="CE154"/>
      <c r="CF154"/>
      <c r="CH154" s="55"/>
      <c r="CI154"/>
      <c r="CJ154" s="16"/>
      <c r="CK154" s="16"/>
      <c r="CL154" s="28"/>
      <c r="CM154" s="28"/>
      <c r="CN154" s="28"/>
      <c r="CO154" s="28"/>
      <c r="CP154" s="28"/>
      <c r="CQ154" s="28"/>
      <c r="CR154" s="28"/>
      <c r="CS154" s="28"/>
      <c r="CT154" s="28"/>
      <c r="CU154" s="28"/>
      <c r="CV154" s="28"/>
      <c r="CW154" s="28"/>
      <c r="CX154" s="28"/>
      <c r="CY154" s="28"/>
      <c r="CZ154" s="28"/>
      <c r="DA154" s="28"/>
      <c r="DB154" s="28"/>
      <c r="DC154" s="28"/>
      <c r="DD154" s="28"/>
      <c r="DF154" s="55"/>
      <c r="DX154" s="28"/>
    </row>
    <row r="155" spans="1:128" s="19" customFormat="1" ht="16" customHeight="1">
      <c r="A155" s="18"/>
      <c r="B155" s="17"/>
      <c r="C155" s="16"/>
      <c r="D155" s="16"/>
      <c r="E155" s="16"/>
      <c r="F155" s="16"/>
      <c r="G155" s="16"/>
      <c r="H155" s="20"/>
      <c r="I155" s="20"/>
      <c r="J155" s="20"/>
      <c r="K155" s="20"/>
      <c r="L155" s="20"/>
      <c r="M155" s="20"/>
      <c r="N155" s="20"/>
      <c r="O155" s="20"/>
      <c r="P155" s="20"/>
      <c r="Q155" s="20"/>
      <c r="R155" s="20"/>
      <c r="S155" s="20"/>
      <c r="T155"/>
      <c r="U155"/>
      <c r="V155"/>
      <c r="W155"/>
      <c r="X155"/>
      <c r="Y155"/>
      <c r="Z155" s="16"/>
      <c r="AA155" s="16"/>
      <c r="AB155" s="55"/>
      <c r="AC155"/>
      <c r="AD155"/>
      <c r="AE155"/>
      <c r="AF155"/>
      <c r="AG155"/>
      <c r="AH155"/>
      <c r="AI155"/>
      <c r="AJ155"/>
      <c r="AK155"/>
      <c r="AL155"/>
      <c r="AM155"/>
      <c r="AN155"/>
      <c r="AO155"/>
      <c r="AP155"/>
      <c r="AQ155"/>
      <c r="AS155" s="55"/>
      <c r="AT155"/>
      <c r="AU155" s="41"/>
      <c r="AV155" s="16"/>
      <c r="AW155" s="16"/>
      <c r="AX155" s="16"/>
      <c r="AY155" s="16"/>
      <c r="AZ155" s="16"/>
      <c r="BA155" s="16"/>
      <c r="BB155" s="16"/>
      <c r="BC155" s="16"/>
      <c r="BD155" s="16"/>
      <c r="BE155" s="16"/>
      <c r="BF155" s="16"/>
      <c r="BG155" s="16"/>
      <c r="BH155" s="16"/>
      <c r="BI155"/>
      <c r="BJ155"/>
      <c r="BK155"/>
      <c r="BL155"/>
      <c r="BM155"/>
      <c r="BN155"/>
      <c r="BO155"/>
      <c r="BP155"/>
      <c r="BQ155" s="55"/>
      <c r="BR155"/>
      <c r="BS155"/>
      <c r="BT155"/>
      <c r="BU155"/>
      <c r="BV155"/>
      <c r="BW155"/>
      <c r="BX155"/>
      <c r="BY155"/>
      <c r="BZ155"/>
      <c r="CA155"/>
      <c r="CB155"/>
      <c r="CC155"/>
      <c r="CD155"/>
      <c r="CE155"/>
      <c r="CF155"/>
      <c r="CH155" s="55"/>
      <c r="CI155"/>
      <c r="CJ155" s="16"/>
      <c r="CK155" s="16"/>
      <c r="CL155" s="28"/>
      <c r="CM155" s="28"/>
      <c r="CN155" s="28"/>
      <c r="CO155" s="28"/>
      <c r="CP155" s="28"/>
      <c r="CQ155" s="28"/>
      <c r="CR155" s="28"/>
      <c r="CS155" s="28"/>
      <c r="CT155" s="28"/>
      <c r="CU155" s="28"/>
      <c r="CV155" s="28"/>
      <c r="CW155" s="28"/>
      <c r="CX155" s="28"/>
      <c r="CY155" s="28"/>
      <c r="CZ155" s="28"/>
      <c r="DA155" s="28"/>
      <c r="DB155" s="28"/>
      <c r="DC155" s="28"/>
      <c r="DD155" s="28"/>
      <c r="DF155" s="55"/>
      <c r="DX155" s="28"/>
    </row>
    <row r="156" spans="1:128" s="19" customFormat="1" ht="16" customHeight="1">
      <c r="A156" s="18"/>
      <c r="B156" s="17"/>
      <c r="C156" s="16"/>
      <c r="D156" s="16"/>
      <c r="E156" s="16"/>
      <c r="F156" s="16"/>
      <c r="G156" s="16"/>
      <c r="H156" s="20"/>
      <c r="I156" s="20"/>
      <c r="J156" s="20"/>
      <c r="K156" s="20"/>
      <c r="L156" s="20"/>
      <c r="M156" s="20"/>
      <c r="N156" s="20"/>
      <c r="O156" s="20"/>
      <c r="P156" s="20"/>
      <c r="Q156" s="20"/>
      <c r="R156" s="20"/>
      <c r="S156" s="20"/>
      <c r="T156"/>
      <c r="U156"/>
      <c r="V156"/>
      <c r="W156"/>
      <c r="X156"/>
      <c r="Y156"/>
      <c r="Z156" s="16"/>
      <c r="AA156" s="16"/>
      <c r="AB156" s="55"/>
      <c r="AC156"/>
      <c r="AD156"/>
      <c r="AE156"/>
      <c r="AF156"/>
      <c r="AG156"/>
      <c r="AH156"/>
      <c r="AI156"/>
      <c r="AJ156"/>
      <c r="AK156"/>
      <c r="AL156"/>
      <c r="AM156"/>
      <c r="AN156"/>
      <c r="AO156"/>
      <c r="AP156"/>
      <c r="AQ156"/>
      <c r="AS156" s="55"/>
      <c r="AT156"/>
      <c r="AU156" s="41"/>
      <c r="AV156" s="16"/>
      <c r="AW156" s="16"/>
      <c r="AX156" s="16"/>
      <c r="AY156" s="16"/>
      <c r="AZ156" s="16"/>
      <c r="BA156" s="16"/>
      <c r="BB156" s="16"/>
      <c r="BC156" s="16"/>
      <c r="BD156" s="16"/>
      <c r="BE156" s="16"/>
      <c r="BF156" s="16"/>
      <c r="BG156" s="16"/>
      <c r="BH156" s="16"/>
      <c r="BI156"/>
      <c r="BJ156"/>
      <c r="BK156"/>
      <c r="BL156"/>
      <c r="BM156"/>
      <c r="BN156"/>
      <c r="BO156"/>
      <c r="BP156"/>
      <c r="BQ156" s="55"/>
      <c r="BR156"/>
      <c r="BS156"/>
      <c r="BT156"/>
      <c r="BU156"/>
      <c r="BV156"/>
      <c r="BW156"/>
      <c r="BX156"/>
      <c r="BY156"/>
      <c r="BZ156"/>
      <c r="CA156"/>
      <c r="CB156"/>
      <c r="CC156"/>
      <c r="CD156"/>
      <c r="CE156"/>
      <c r="CF156"/>
      <c r="CH156" s="55"/>
      <c r="CI156"/>
      <c r="CJ156" s="16"/>
      <c r="CK156" s="16"/>
      <c r="CL156" s="28"/>
      <c r="CM156" s="28"/>
      <c r="CN156" s="28"/>
      <c r="CO156" s="28"/>
      <c r="CP156" s="28"/>
      <c r="CQ156" s="28"/>
      <c r="CR156" s="28"/>
      <c r="CS156" s="28"/>
      <c r="CT156" s="28"/>
      <c r="CU156" s="28"/>
      <c r="CV156" s="28"/>
      <c r="CW156" s="28"/>
      <c r="CX156" s="28"/>
      <c r="CY156" s="28"/>
      <c r="CZ156" s="28"/>
      <c r="DA156" s="28"/>
      <c r="DB156" s="28"/>
      <c r="DC156" s="28"/>
      <c r="DD156" s="28"/>
      <c r="DF156" s="55"/>
      <c r="DX156" s="28"/>
    </row>
    <row r="157" spans="1:128" s="19" customFormat="1" ht="16" customHeight="1">
      <c r="A157" s="18"/>
      <c r="B157" s="17"/>
      <c r="C157" s="16"/>
      <c r="D157" s="16"/>
      <c r="E157" s="16"/>
      <c r="F157" s="16"/>
      <c r="G157" s="16"/>
      <c r="H157" s="20"/>
      <c r="I157" s="20"/>
      <c r="J157" s="20"/>
      <c r="K157" s="20"/>
      <c r="L157" s="20"/>
      <c r="M157" s="20"/>
      <c r="N157" s="20"/>
      <c r="O157" s="20"/>
      <c r="P157" s="20"/>
      <c r="Q157" s="20"/>
      <c r="R157" s="20"/>
      <c r="S157" s="20"/>
      <c r="T157"/>
      <c r="U157"/>
      <c r="V157"/>
      <c r="W157"/>
      <c r="X157"/>
      <c r="Y157"/>
      <c r="Z157" s="16"/>
      <c r="AA157" s="16"/>
      <c r="AB157" s="55"/>
      <c r="AC157"/>
      <c r="AD157"/>
      <c r="AE157"/>
      <c r="AF157"/>
      <c r="AG157"/>
      <c r="AH157"/>
      <c r="AI157"/>
      <c r="AJ157"/>
      <c r="AK157"/>
      <c r="AL157"/>
      <c r="AM157"/>
      <c r="AN157"/>
      <c r="AO157"/>
      <c r="AP157"/>
      <c r="AQ157"/>
      <c r="AS157" s="55"/>
      <c r="AT157"/>
      <c r="AU157" s="41"/>
      <c r="AV157" s="16"/>
      <c r="AW157" s="16"/>
      <c r="AX157" s="16"/>
      <c r="AY157" s="16"/>
      <c r="AZ157" s="16"/>
      <c r="BA157" s="16"/>
      <c r="BB157" s="16"/>
      <c r="BC157" s="16"/>
      <c r="BD157" s="16"/>
      <c r="BE157" s="16"/>
      <c r="BF157" s="16"/>
      <c r="BG157" s="16"/>
      <c r="BH157" s="16"/>
      <c r="BI157"/>
      <c r="BJ157"/>
      <c r="BK157"/>
      <c r="BL157"/>
      <c r="BM157"/>
      <c r="BN157"/>
      <c r="BO157"/>
      <c r="BP157"/>
      <c r="BQ157" s="55"/>
      <c r="BR157"/>
      <c r="BS157"/>
      <c r="BT157"/>
      <c r="BU157"/>
      <c r="BV157"/>
      <c r="BW157"/>
      <c r="BX157"/>
      <c r="BY157"/>
      <c r="BZ157"/>
      <c r="CA157"/>
      <c r="CB157"/>
      <c r="CC157"/>
      <c r="CD157"/>
      <c r="CE157"/>
      <c r="CF157"/>
      <c r="CH157" s="55"/>
      <c r="CI157"/>
      <c r="CJ157" s="16"/>
      <c r="CK157" s="16"/>
      <c r="CL157" s="28"/>
      <c r="CM157" s="28"/>
      <c r="CN157" s="28"/>
      <c r="CO157" s="28"/>
      <c r="CP157" s="28"/>
      <c r="CQ157" s="28"/>
      <c r="CR157" s="28"/>
      <c r="CS157" s="28"/>
      <c r="CT157" s="28"/>
      <c r="CU157" s="28"/>
      <c r="CV157" s="28"/>
      <c r="CW157" s="28"/>
      <c r="CX157" s="28"/>
      <c r="CY157" s="28"/>
      <c r="CZ157" s="28"/>
      <c r="DA157" s="28"/>
      <c r="DB157" s="28"/>
      <c r="DC157" s="28"/>
      <c r="DD157" s="28"/>
      <c r="DF157" s="55"/>
      <c r="DX157" s="28"/>
    </row>
    <row r="158" spans="1:128" s="19" customFormat="1" ht="16" customHeight="1">
      <c r="A158" s="18"/>
      <c r="B158" s="17"/>
      <c r="C158" s="16"/>
      <c r="D158" s="16"/>
      <c r="E158" s="16"/>
      <c r="F158" s="16"/>
      <c r="G158" s="16"/>
      <c r="H158" s="20"/>
      <c r="I158" s="20"/>
      <c r="J158" s="20"/>
      <c r="K158" s="20"/>
      <c r="L158" s="20"/>
      <c r="M158" s="20"/>
      <c r="N158" s="20"/>
      <c r="O158" s="20"/>
      <c r="P158" s="20"/>
      <c r="Q158" s="20"/>
      <c r="R158" s="20"/>
      <c r="S158" s="20"/>
      <c r="T158"/>
      <c r="U158"/>
      <c r="V158"/>
      <c r="W158"/>
      <c r="X158"/>
      <c r="Y158"/>
      <c r="Z158" s="16"/>
      <c r="AA158" s="16"/>
      <c r="AB158" s="55"/>
      <c r="AC158"/>
      <c r="AD158"/>
      <c r="AE158"/>
      <c r="AF158"/>
      <c r="AG158"/>
      <c r="AH158"/>
      <c r="AI158"/>
      <c r="AJ158"/>
      <c r="AK158"/>
      <c r="AL158"/>
      <c r="AM158"/>
      <c r="AN158"/>
      <c r="AO158"/>
      <c r="AP158"/>
      <c r="AQ158"/>
      <c r="AS158" s="55"/>
      <c r="AT158"/>
      <c r="AU158" s="41"/>
      <c r="AV158" s="16"/>
      <c r="AW158" s="16"/>
      <c r="AX158" s="16"/>
      <c r="AY158" s="16"/>
      <c r="AZ158" s="16"/>
      <c r="BA158" s="16"/>
      <c r="BB158" s="16"/>
      <c r="BC158" s="16"/>
      <c r="BD158" s="16"/>
      <c r="BE158" s="16"/>
      <c r="BF158" s="16"/>
      <c r="BG158" s="16"/>
      <c r="BH158" s="16"/>
      <c r="BI158"/>
      <c r="BJ158"/>
      <c r="BK158"/>
      <c r="BL158"/>
      <c r="BM158"/>
      <c r="BN158"/>
      <c r="BO158"/>
      <c r="BP158"/>
      <c r="BQ158" s="55"/>
      <c r="BR158"/>
      <c r="BS158"/>
      <c r="BT158"/>
      <c r="BU158"/>
      <c r="BV158"/>
      <c r="BW158"/>
      <c r="BX158"/>
      <c r="BY158"/>
      <c r="BZ158"/>
      <c r="CA158"/>
      <c r="CB158"/>
      <c r="CC158"/>
      <c r="CD158"/>
      <c r="CE158"/>
      <c r="CF158"/>
      <c r="CH158" s="55"/>
      <c r="CI158"/>
      <c r="CJ158" s="16"/>
      <c r="CK158" s="16"/>
      <c r="CL158" s="28"/>
      <c r="CM158" s="28"/>
      <c r="CN158" s="28"/>
      <c r="CO158" s="28"/>
      <c r="CP158" s="28"/>
      <c r="CQ158" s="28"/>
      <c r="CR158" s="28"/>
      <c r="CS158" s="28"/>
      <c r="CT158" s="28"/>
      <c r="CU158" s="28"/>
      <c r="CV158" s="28"/>
      <c r="CW158" s="28"/>
      <c r="CX158" s="28"/>
      <c r="CY158" s="28"/>
      <c r="CZ158" s="28"/>
      <c r="DA158" s="28"/>
      <c r="DB158" s="28"/>
      <c r="DC158" s="28"/>
      <c r="DD158" s="28"/>
      <c r="DF158" s="55"/>
      <c r="DX158" s="28"/>
    </row>
    <row r="159" spans="1:128" s="19" customFormat="1" ht="16" customHeight="1">
      <c r="A159" s="18"/>
      <c r="B159" s="17"/>
      <c r="C159" s="16"/>
      <c r="D159" s="16"/>
      <c r="E159" s="16"/>
      <c r="F159" s="16"/>
      <c r="G159" s="16"/>
      <c r="H159" s="20"/>
      <c r="I159" s="20"/>
      <c r="J159" s="20"/>
      <c r="K159" s="20"/>
      <c r="L159" s="20"/>
      <c r="M159" s="20"/>
      <c r="N159" s="20"/>
      <c r="O159" s="20"/>
      <c r="P159" s="20"/>
      <c r="Q159" s="20"/>
      <c r="R159" s="20"/>
      <c r="S159" s="20"/>
      <c r="T159"/>
      <c r="U159"/>
      <c r="V159"/>
      <c r="W159"/>
      <c r="X159"/>
      <c r="Y159"/>
      <c r="Z159" s="16"/>
      <c r="AA159" s="16"/>
      <c r="AB159" s="55"/>
      <c r="AC159"/>
      <c r="AD159"/>
      <c r="AE159"/>
      <c r="AF159"/>
      <c r="AG159"/>
      <c r="AH159"/>
      <c r="AI159"/>
      <c r="AJ159"/>
      <c r="AK159"/>
      <c r="AL159"/>
      <c r="AM159"/>
      <c r="AN159"/>
      <c r="AO159"/>
      <c r="AP159"/>
      <c r="AQ159"/>
      <c r="AS159" s="55"/>
      <c r="AT159"/>
      <c r="AU159" s="41"/>
      <c r="AV159" s="16"/>
      <c r="AW159" s="16"/>
      <c r="AX159" s="16"/>
      <c r="AY159" s="16"/>
      <c r="AZ159" s="16"/>
      <c r="BA159" s="16"/>
      <c r="BB159" s="16"/>
      <c r="BC159" s="16"/>
      <c r="BD159" s="16"/>
      <c r="BE159" s="16"/>
      <c r="BF159" s="16"/>
      <c r="BG159" s="16"/>
      <c r="BH159" s="16"/>
      <c r="BI159"/>
      <c r="BJ159"/>
      <c r="BK159"/>
      <c r="BL159"/>
      <c r="BM159"/>
      <c r="BN159"/>
      <c r="BO159"/>
      <c r="BP159"/>
      <c r="BQ159" s="55"/>
      <c r="BR159"/>
      <c r="BS159"/>
      <c r="BT159"/>
      <c r="BU159"/>
      <c r="BV159"/>
      <c r="BW159"/>
      <c r="BX159"/>
      <c r="BY159"/>
      <c r="BZ159"/>
      <c r="CA159"/>
      <c r="CB159"/>
      <c r="CC159"/>
      <c r="CD159"/>
      <c r="CE159"/>
      <c r="CF159"/>
      <c r="CH159" s="55"/>
      <c r="CI159"/>
      <c r="CJ159" s="16"/>
      <c r="CK159" s="16"/>
      <c r="CL159" s="28"/>
      <c r="CM159" s="28"/>
      <c r="CN159" s="28"/>
      <c r="CO159" s="28"/>
      <c r="CP159" s="28"/>
      <c r="CQ159" s="28"/>
      <c r="CR159" s="28"/>
      <c r="CS159" s="28"/>
      <c r="CT159" s="28"/>
      <c r="CU159" s="28"/>
      <c r="CV159" s="28"/>
      <c r="CW159" s="28"/>
      <c r="CX159" s="28"/>
      <c r="CY159" s="28"/>
      <c r="CZ159" s="28"/>
      <c r="DA159" s="28"/>
      <c r="DB159" s="28"/>
      <c r="DC159" s="28"/>
      <c r="DD159" s="28"/>
      <c r="DF159" s="55"/>
      <c r="DX159" s="28"/>
    </row>
    <row r="160" spans="1:128" s="19" customFormat="1" ht="16" customHeight="1">
      <c r="A160" s="18"/>
      <c r="B160" s="17"/>
      <c r="C160" s="16"/>
      <c r="D160" s="16"/>
      <c r="E160" s="16"/>
      <c r="F160" s="16"/>
      <c r="G160" s="16"/>
      <c r="H160" s="20"/>
      <c r="I160" s="20"/>
      <c r="J160" s="20"/>
      <c r="K160" s="20"/>
      <c r="L160" s="20"/>
      <c r="M160" s="20"/>
      <c r="N160" s="20"/>
      <c r="O160" s="20"/>
      <c r="P160" s="20"/>
      <c r="Q160" s="20"/>
      <c r="R160" s="20"/>
      <c r="S160" s="20"/>
      <c r="T160"/>
      <c r="U160"/>
      <c r="V160"/>
      <c r="W160"/>
      <c r="X160"/>
      <c r="Y160"/>
      <c r="Z160" s="16"/>
      <c r="AA160" s="16"/>
      <c r="AB160" s="55"/>
      <c r="AC160"/>
      <c r="AD160"/>
      <c r="AE160"/>
      <c r="AF160"/>
      <c r="AG160"/>
      <c r="AH160"/>
      <c r="AI160"/>
      <c r="AJ160"/>
      <c r="AK160"/>
      <c r="AL160"/>
      <c r="AM160"/>
      <c r="AN160"/>
      <c r="AO160"/>
      <c r="AP160"/>
      <c r="AQ160"/>
      <c r="AS160" s="55"/>
      <c r="AT160"/>
      <c r="AU160" s="41"/>
      <c r="AV160" s="16"/>
      <c r="AW160" s="16"/>
      <c r="AX160" s="16"/>
      <c r="AY160" s="16"/>
      <c r="AZ160" s="16"/>
      <c r="BA160" s="16"/>
      <c r="BB160" s="16"/>
      <c r="BC160" s="16"/>
      <c r="BD160" s="16"/>
      <c r="BE160" s="16"/>
      <c r="BF160" s="16"/>
      <c r="BG160" s="16"/>
      <c r="BH160" s="16"/>
      <c r="BI160"/>
      <c r="BJ160"/>
      <c r="BK160"/>
      <c r="BL160"/>
      <c r="BM160"/>
      <c r="BN160"/>
      <c r="BO160"/>
      <c r="BP160"/>
      <c r="BQ160" s="55"/>
      <c r="BR160"/>
      <c r="BS160"/>
      <c r="BT160"/>
      <c r="BU160"/>
      <c r="BV160"/>
      <c r="BW160"/>
      <c r="BX160"/>
      <c r="BY160"/>
      <c r="BZ160"/>
      <c r="CA160"/>
      <c r="CB160"/>
      <c r="CC160"/>
      <c r="CD160"/>
      <c r="CE160"/>
      <c r="CF160"/>
      <c r="CH160" s="55"/>
      <c r="CI160"/>
      <c r="CJ160" s="16"/>
      <c r="CK160" s="16"/>
      <c r="CL160" s="28"/>
      <c r="CM160" s="28"/>
      <c r="CN160" s="28"/>
      <c r="CO160" s="28"/>
      <c r="CP160" s="28"/>
      <c r="CQ160" s="28"/>
      <c r="CR160" s="28"/>
      <c r="CS160" s="28"/>
      <c r="CT160" s="28"/>
      <c r="CU160" s="28"/>
      <c r="CV160" s="28"/>
      <c r="CW160" s="28"/>
      <c r="CX160" s="28"/>
      <c r="CY160" s="28"/>
      <c r="CZ160" s="28"/>
      <c r="DA160" s="28"/>
      <c r="DB160" s="28"/>
      <c r="DC160" s="28"/>
      <c r="DD160" s="28"/>
      <c r="DF160" s="55"/>
      <c r="DX160" s="28"/>
    </row>
    <row r="161" spans="1:128" s="19" customFormat="1" ht="16" customHeight="1">
      <c r="A161" s="18"/>
      <c r="B161" s="17"/>
      <c r="C161" s="16"/>
      <c r="D161" s="16"/>
      <c r="E161" s="16"/>
      <c r="F161" s="16"/>
      <c r="G161" s="16"/>
      <c r="H161" s="20"/>
      <c r="I161" s="20"/>
      <c r="J161" s="20"/>
      <c r="K161" s="20"/>
      <c r="L161" s="20"/>
      <c r="M161" s="20"/>
      <c r="N161" s="20"/>
      <c r="O161" s="20"/>
      <c r="P161" s="20"/>
      <c r="Q161" s="20"/>
      <c r="R161" s="20"/>
      <c r="S161" s="20"/>
      <c r="T161"/>
      <c r="U161"/>
      <c r="V161"/>
      <c r="W161"/>
      <c r="X161"/>
      <c r="Y161"/>
      <c r="Z161" s="16"/>
      <c r="AA161" s="16"/>
      <c r="AB161" s="55"/>
      <c r="AC161"/>
      <c r="AD161"/>
      <c r="AE161"/>
      <c r="AF161"/>
      <c r="AG161"/>
      <c r="AH161"/>
      <c r="AI161"/>
      <c r="AJ161"/>
      <c r="AK161"/>
      <c r="AL161"/>
      <c r="AM161"/>
      <c r="AN161"/>
      <c r="AO161"/>
      <c r="AP161"/>
      <c r="AQ161"/>
      <c r="AS161" s="55"/>
      <c r="AT161"/>
      <c r="AU161" s="41"/>
      <c r="AV161" s="16"/>
      <c r="AW161" s="16"/>
      <c r="AX161" s="16"/>
      <c r="AY161" s="16"/>
      <c r="AZ161" s="16"/>
      <c r="BA161" s="16"/>
      <c r="BB161" s="16"/>
      <c r="BC161" s="16"/>
      <c r="BD161" s="16"/>
      <c r="BE161" s="16"/>
      <c r="BF161" s="16"/>
      <c r="BG161" s="16"/>
      <c r="BH161" s="16"/>
      <c r="BI161"/>
      <c r="BJ161"/>
      <c r="BK161"/>
      <c r="BL161"/>
      <c r="BM161"/>
      <c r="BN161"/>
      <c r="BO161"/>
      <c r="BP161"/>
      <c r="BQ161" s="55"/>
      <c r="BR161"/>
      <c r="BS161"/>
      <c r="BT161"/>
      <c r="BU161"/>
      <c r="BV161"/>
      <c r="BW161"/>
      <c r="BX161"/>
      <c r="BY161"/>
      <c r="BZ161"/>
      <c r="CA161"/>
      <c r="CB161"/>
      <c r="CC161"/>
      <c r="CD161"/>
      <c r="CE161"/>
      <c r="CF161"/>
      <c r="CH161" s="55"/>
      <c r="CI161"/>
      <c r="CJ161" s="16"/>
      <c r="CK161" s="16"/>
      <c r="CL161" s="28"/>
      <c r="CM161" s="28"/>
      <c r="CN161" s="28"/>
      <c r="CO161" s="28"/>
      <c r="CP161" s="28"/>
      <c r="CQ161" s="28"/>
      <c r="CR161" s="28"/>
      <c r="CS161" s="28"/>
      <c r="CT161" s="28"/>
      <c r="CU161" s="28"/>
      <c r="CV161" s="28"/>
      <c r="CW161" s="28"/>
      <c r="CX161" s="28"/>
      <c r="CY161" s="28"/>
      <c r="CZ161" s="28"/>
      <c r="DA161" s="28"/>
      <c r="DB161" s="28"/>
      <c r="DC161" s="28"/>
      <c r="DD161" s="28"/>
      <c r="DF161" s="55"/>
      <c r="DX161" s="28"/>
    </row>
    <row r="162" spans="1:128" s="19" customFormat="1" ht="16" customHeight="1">
      <c r="A162" s="18"/>
      <c r="B162" s="17"/>
      <c r="C162" s="16"/>
      <c r="D162" s="16"/>
      <c r="E162" s="16"/>
      <c r="F162" s="16"/>
      <c r="G162" s="16"/>
      <c r="H162" s="20"/>
      <c r="I162" s="20"/>
      <c r="J162" s="20"/>
      <c r="K162" s="20"/>
      <c r="L162" s="20"/>
      <c r="M162" s="20"/>
      <c r="N162" s="20"/>
      <c r="O162" s="20"/>
      <c r="P162" s="20"/>
      <c r="Q162" s="20"/>
      <c r="R162" s="20"/>
      <c r="S162" s="20"/>
      <c r="T162"/>
      <c r="U162"/>
      <c r="V162"/>
      <c r="W162"/>
      <c r="X162"/>
      <c r="Y162"/>
      <c r="Z162" s="16"/>
      <c r="AA162" s="16"/>
      <c r="AB162" s="55"/>
      <c r="AC162"/>
      <c r="AD162"/>
      <c r="AE162"/>
      <c r="AF162"/>
      <c r="AG162"/>
      <c r="AH162"/>
      <c r="AI162"/>
      <c r="AJ162"/>
      <c r="AK162"/>
      <c r="AL162"/>
      <c r="AM162"/>
      <c r="AN162"/>
      <c r="AO162"/>
      <c r="AP162"/>
      <c r="AQ162"/>
      <c r="AS162" s="55"/>
      <c r="AT162"/>
      <c r="AU162" s="41"/>
      <c r="AV162" s="16"/>
      <c r="AW162" s="16"/>
      <c r="AX162" s="16"/>
      <c r="AY162" s="16"/>
      <c r="AZ162" s="16"/>
      <c r="BA162" s="16"/>
      <c r="BB162" s="16"/>
      <c r="BC162" s="16"/>
      <c r="BD162" s="16"/>
      <c r="BE162" s="16"/>
      <c r="BF162" s="16"/>
      <c r="BG162" s="16"/>
      <c r="BH162" s="16"/>
      <c r="BI162"/>
      <c r="BJ162"/>
      <c r="BK162"/>
      <c r="BL162"/>
      <c r="BM162"/>
      <c r="BN162"/>
      <c r="BO162"/>
      <c r="BP162"/>
      <c r="BQ162" s="55"/>
      <c r="BR162"/>
      <c r="BS162"/>
      <c r="BT162"/>
      <c r="BU162"/>
      <c r="BV162"/>
      <c r="BW162"/>
      <c r="BX162"/>
      <c r="BY162"/>
      <c r="BZ162"/>
      <c r="CA162"/>
      <c r="CB162"/>
      <c r="CC162"/>
      <c r="CD162"/>
      <c r="CE162"/>
      <c r="CF162"/>
      <c r="CH162" s="55"/>
      <c r="CI162"/>
      <c r="CJ162" s="16"/>
      <c r="CK162" s="16"/>
      <c r="CL162" s="28"/>
      <c r="CM162" s="28"/>
      <c r="CN162" s="28"/>
      <c r="CO162" s="28"/>
      <c r="CP162" s="28"/>
      <c r="CQ162" s="28"/>
      <c r="CR162" s="28"/>
      <c r="CS162" s="28"/>
      <c r="CT162" s="28"/>
      <c r="CU162" s="28"/>
      <c r="CV162" s="28"/>
      <c r="CW162" s="28"/>
      <c r="CX162" s="28"/>
      <c r="CY162" s="28"/>
      <c r="CZ162" s="28"/>
      <c r="DA162" s="28"/>
      <c r="DB162" s="28"/>
      <c r="DC162" s="28"/>
      <c r="DD162" s="28"/>
      <c r="DF162" s="55"/>
      <c r="DX162" s="28"/>
    </row>
    <row r="163" spans="1:128" s="19" customFormat="1" ht="16" customHeight="1">
      <c r="A163" s="18"/>
      <c r="B163" s="17"/>
      <c r="C163" s="16"/>
      <c r="D163" s="16"/>
      <c r="E163" s="16"/>
      <c r="F163" s="16"/>
      <c r="G163" s="16"/>
      <c r="H163" s="20"/>
      <c r="I163" s="20"/>
      <c r="J163" s="20"/>
      <c r="K163" s="20"/>
      <c r="L163" s="20"/>
      <c r="M163" s="20"/>
      <c r="N163" s="20"/>
      <c r="O163" s="20"/>
      <c r="P163" s="20"/>
      <c r="Q163" s="20"/>
      <c r="R163" s="20"/>
      <c r="S163" s="20"/>
      <c r="T163"/>
      <c r="U163"/>
      <c r="V163"/>
      <c r="W163"/>
      <c r="X163"/>
      <c r="Y163"/>
      <c r="Z163" s="16"/>
      <c r="AA163" s="16"/>
      <c r="AB163" s="55"/>
      <c r="AC163"/>
      <c r="AD163"/>
      <c r="AE163"/>
      <c r="AF163"/>
      <c r="AG163"/>
      <c r="AH163"/>
      <c r="AI163"/>
      <c r="AJ163"/>
      <c r="AK163"/>
      <c r="AL163"/>
      <c r="AM163"/>
      <c r="AN163"/>
      <c r="AO163"/>
      <c r="AP163"/>
      <c r="AQ163"/>
      <c r="AS163" s="55"/>
      <c r="AT163"/>
      <c r="AU163" s="41"/>
      <c r="AV163" s="16"/>
      <c r="AW163" s="16"/>
      <c r="AX163" s="16"/>
      <c r="AY163" s="16"/>
      <c r="AZ163" s="16"/>
      <c r="BA163" s="16"/>
      <c r="BB163" s="16"/>
      <c r="BC163" s="16"/>
      <c r="BD163" s="16"/>
      <c r="BE163" s="16"/>
      <c r="BF163" s="16"/>
      <c r="BG163" s="16"/>
      <c r="BH163" s="16"/>
      <c r="BI163"/>
      <c r="BJ163"/>
      <c r="BK163"/>
      <c r="BL163"/>
      <c r="BM163"/>
      <c r="BN163"/>
      <c r="BO163"/>
      <c r="BP163"/>
      <c r="BQ163" s="55"/>
      <c r="BR163"/>
      <c r="BS163"/>
      <c r="BT163"/>
      <c r="BU163"/>
      <c r="BV163"/>
      <c r="BW163"/>
      <c r="BX163"/>
      <c r="BY163"/>
      <c r="BZ163"/>
      <c r="CA163"/>
      <c r="CB163"/>
      <c r="CC163"/>
      <c r="CD163"/>
      <c r="CE163"/>
      <c r="CF163"/>
      <c r="CH163" s="55"/>
      <c r="CI163"/>
      <c r="CJ163" s="16"/>
      <c r="CK163" s="16"/>
      <c r="CL163" s="28"/>
      <c r="CM163" s="28"/>
      <c r="CN163" s="28"/>
      <c r="CO163" s="28"/>
      <c r="CP163" s="28"/>
      <c r="CQ163" s="28"/>
      <c r="CR163" s="28"/>
      <c r="CS163" s="28"/>
      <c r="CT163" s="28"/>
      <c r="CU163" s="28"/>
      <c r="CV163" s="28"/>
      <c r="CW163" s="28"/>
      <c r="CX163" s="28"/>
      <c r="CY163" s="28"/>
      <c r="CZ163" s="28"/>
      <c r="DA163" s="28"/>
      <c r="DB163" s="28"/>
      <c r="DC163" s="28"/>
      <c r="DD163" s="28"/>
      <c r="DF163" s="55"/>
      <c r="DX163" s="28"/>
    </row>
    <row r="164" spans="1:128" s="19" customFormat="1" ht="16" customHeight="1">
      <c r="A164" s="18"/>
      <c r="B164" s="17"/>
      <c r="C164" s="16"/>
      <c r="D164" s="16"/>
      <c r="E164" s="16"/>
      <c r="F164" s="16"/>
      <c r="G164" s="16"/>
      <c r="H164" s="20"/>
      <c r="I164" s="20"/>
      <c r="J164" s="20"/>
      <c r="K164" s="20"/>
      <c r="L164" s="20"/>
      <c r="M164" s="20"/>
      <c r="N164" s="20"/>
      <c r="O164" s="20"/>
      <c r="P164" s="20"/>
      <c r="Q164" s="20"/>
      <c r="R164" s="20"/>
      <c r="S164" s="20"/>
      <c r="T164"/>
      <c r="U164"/>
      <c r="V164"/>
      <c r="W164"/>
      <c r="X164"/>
      <c r="Y164"/>
      <c r="Z164" s="16"/>
      <c r="AA164" s="16"/>
      <c r="AB164" s="55"/>
      <c r="AC164"/>
      <c r="AD164"/>
      <c r="AE164"/>
      <c r="AF164"/>
      <c r="AG164"/>
      <c r="AH164"/>
      <c r="AI164"/>
      <c r="AJ164"/>
      <c r="AK164"/>
      <c r="AL164"/>
      <c r="AM164"/>
      <c r="AN164"/>
      <c r="AO164"/>
      <c r="AP164"/>
      <c r="AQ164"/>
      <c r="AS164" s="55"/>
      <c r="AT164"/>
      <c r="AU164" s="41"/>
      <c r="AV164" s="16"/>
      <c r="AW164" s="16"/>
      <c r="AX164" s="16"/>
      <c r="AY164" s="16"/>
      <c r="AZ164" s="16"/>
      <c r="BA164" s="16"/>
      <c r="BB164" s="16"/>
      <c r="BC164" s="16"/>
      <c r="BD164" s="16"/>
      <c r="BE164" s="16"/>
      <c r="BF164" s="16"/>
      <c r="BG164" s="16"/>
      <c r="BH164" s="16"/>
      <c r="BI164"/>
      <c r="BJ164"/>
      <c r="BK164"/>
      <c r="BL164"/>
      <c r="BM164"/>
      <c r="BN164"/>
      <c r="BO164"/>
      <c r="BP164"/>
      <c r="BQ164" s="55"/>
      <c r="BR164"/>
      <c r="BS164"/>
      <c r="BT164"/>
      <c r="BU164"/>
      <c r="BV164"/>
      <c r="BW164"/>
      <c r="BX164"/>
      <c r="BY164"/>
      <c r="BZ164"/>
      <c r="CA164"/>
      <c r="CB164"/>
      <c r="CC164"/>
      <c r="CD164"/>
      <c r="CE164"/>
      <c r="CF164"/>
      <c r="CH164" s="55"/>
      <c r="CI164"/>
      <c r="CJ164" s="16"/>
      <c r="CK164" s="16"/>
      <c r="CL164" s="28"/>
      <c r="CM164" s="28"/>
      <c r="CN164" s="28"/>
      <c r="CO164" s="28"/>
      <c r="CP164" s="28"/>
      <c r="CQ164" s="28"/>
      <c r="CR164" s="28"/>
      <c r="CS164" s="28"/>
      <c r="CT164" s="28"/>
      <c r="CU164" s="28"/>
      <c r="CV164" s="28"/>
      <c r="CW164" s="28"/>
      <c r="CX164" s="28"/>
      <c r="CY164" s="28"/>
      <c r="CZ164" s="28"/>
      <c r="DA164" s="28"/>
      <c r="DB164" s="28"/>
      <c r="DC164" s="28"/>
      <c r="DD164" s="28"/>
      <c r="DF164" s="55"/>
      <c r="DX164" s="28"/>
    </row>
    <row r="165" spans="1:128" s="19" customFormat="1" ht="16" customHeight="1">
      <c r="A165" s="18"/>
      <c r="B165" s="17"/>
      <c r="C165" s="16"/>
      <c r="D165" s="16"/>
      <c r="E165" s="16"/>
      <c r="F165" s="16"/>
      <c r="G165" s="16"/>
      <c r="H165" s="20"/>
      <c r="I165" s="20"/>
      <c r="J165" s="20"/>
      <c r="K165" s="20"/>
      <c r="L165" s="20"/>
      <c r="M165" s="20"/>
      <c r="N165" s="20"/>
      <c r="O165" s="20"/>
      <c r="P165" s="20"/>
      <c r="Q165" s="20"/>
      <c r="R165" s="20"/>
      <c r="S165" s="20"/>
      <c r="T165"/>
      <c r="U165"/>
      <c r="V165"/>
      <c r="W165"/>
      <c r="X165"/>
      <c r="Y165"/>
      <c r="Z165" s="16"/>
      <c r="AA165" s="16"/>
      <c r="AB165" s="55"/>
      <c r="AC165"/>
      <c r="AD165"/>
      <c r="AE165"/>
      <c r="AF165"/>
      <c r="AG165"/>
      <c r="AH165"/>
      <c r="AI165"/>
      <c r="AJ165"/>
      <c r="AK165"/>
      <c r="AL165"/>
      <c r="AM165"/>
      <c r="AN165"/>
      <c r="AO165"/>
      <c r="AP165"/>
      <c r="AQ165"/>
      <c r="AS165" s="55"/>
      <c r="AT165"/>
      <c r="AU165" s="41"/>
      <c r="AV165" s="16"/>
      <c r="AW165" s="16"/>
      <c r="AX165" s="16"/>
      <c r="AY165" s="16"/>
      <c r="AZ165" s="16"/>
      <c r="BA165" s="16"/>
      <c r="BB165" s="16"/>
      <c r="BC165" s="16"/>
      <c r="BD165" s="16"/>
      <c r="BE165" s="16"/>
      <c r="BF165" s="16"/>
      <c r="BG165" s="16"/>
      <c r="BH165" s="16"/>
      <c r="BI165"/>
      <c r="BJ165"/>
      <c r="BK165"/>
      <c r="BL165"/>
      <c r="BM165"/>
      <c r="BN165"/>
      <c r="BO165"/>
      <c r="BP165"/>
      <c r="BQ165" s="55"/>
      <c r="BR165"/>
      <c r="BS165"/>
      <c r="BT165"/>
      <c r="BU165"/>
      <c r="BV165"/>
      <c r="BW165"/>
      <c r="BX165"/>
      <c r="BY165"/>
      <c r="BZ165"/>
      <c r="CA165"/>
      <c r="CB165"/>
      <c r="CC165"/>
      <c r="CD165"/>
      <c r="CE165"/>
      <c r="CF165"/>
      <c r="CH165" s="55"/>
      <c r="CI165"/>
      <c r="CJ165" s="16"/>
      <c r="CK165" s="16"/>
      <c r="CL165" s="28"/>
      <c r="CM165" s="28"/>
      <c r="CN165" s="28"/>
      <c r="CO165" s="28"/>
      <c r="CP165" s="28"/>
      <c r="CQ165" s="28"/>
      <c r="CR165" s="28"/>
      <c r="CS165" s="28"/>
      <c r="CT165" s="28"/>
      <c r="CU165" s="28"/>
      <c r="CV165" s="28"/>
      <c r="CW165" s="28"/>
      <c r="CX165" s="28"/>
      <c r="CY165" s="28"/>
      <c r="CZ165" s="28"/>
      <c r="DA165" s="28"/>
      <c r="DB165" s="28"/>
      <c r="DC165" s="28"/>
      <c r="DD165" s="28"/>
      <c r="DF165" s="55"/>
      <c r="DX165" s="28"/>
    </row>
    <row r="166" spans="1:128" s="19" customFormat="1" ht="16" customHeight="1">
      <c r="A166" s="18"/>
      <c r="B166" s="17"/>
      <c r="C166" s="16"/>
      <c r="D166" s="16"/>
      <c r="E166" s="16"/>
      <c r="F166" s="16"/>
      <c r="G166" s="16"/>
      <c r="H166" s="20"/>
      <c r="I166" s="20"/>
      <c r="J166" s="20"/>
      <c r="K166" s="20"/>
      <c r="L166" s="20"/>
      <c r="M166" s="20"/>
      <c r="N166" s="20"/>
      <c r="O166" s="20"/>
      <c r="P166" s="20"/>
      <c r="Q166" s="20"/>
      <c r="R166" s="20"/>
      <c r="S166" s="20"/>
      <c r="T166"/>
      <c r="U166"/>
      <c r="V166"/>
      <c r="W166"/>
      <c r="X166"/>
      <c r="Y166"/>
      <c r="Z166" s="16"/>
      <c r="AA166" s="16"/>
      <c r="AB166" s="55"/>
      <c r="AC166"/>
      <c r="AD166"/>
      <c r="AE166"/>
      <c r="AF166"/>
      <c r="AG166"/>
      <c r="AH166"/>
      <c r="AI166"/>
      <c r="AJ166"/>
      <c r="AK166"/>
      <c r="AL166"/>
      <c r="AM166"/>
      <c r="AN166"/>
      <c r="AO166"/>
      <c r="AP166"/>
      <c r="AQ166"/>
      <c r="AS166" s="55"/>
      <c r="AT166"/>
      <c r="AU166" s="41"/>
      <c r="AV166" s="16"/>
      <c r="AW166" s="16"/>
      <c r="AX166" s="16"/>
      <c r="AY166" s="16"/>
      <c r="AZ166" s="16"/>
      <c r="BA166" s="16"/>
      <c r="BB166" s="16"/>
      <c r="BC166" s="16"/>
      <c r="BD166" s="16"/>
      <c r="BE166" s="16"/>
      <c r="BF166" s="16"/>
      <c r="BG166" s="16"/>
      <c r="BH166" s="16"/>
      <c r="BI166"/>
      <c r="BJ166"/>
      <c r="BK166"/>
      <c r="BL166"/>
      <c r="BM166"/>
      <c r="BN166"/>
      <c r="BO166"/>
      <c r="BP166"/>
      <c r="BQ166" s="55"/>
      <c r="BR166"/>
      <c r="BS166"/>
      <c r="BT166"/>
      <c r="BU166"/>
      <c r="BV166"/>
      <c r="BW166"/>
      <c r="BX166"/>
      <c r="BY166"/>
      <c r="BZ166"/>
      <c r="CA166"/>
      <c r="CB166"/>
      <c r="CC166"/>
      <c r="CD166"/>
      <c r="CE166"/>
      <c r="CF166"/>
      <c r="CH166" s="55"/>
      <c r="CI166"/>
      <c r="CJ166" s="16"/>
      <c r="CK166" s="16"/>
      <c r="CL166" s="28"/>
      <c r="CM166" s="28"/>
      <c r="CN166" s="28"/>
      <c r="CO166" s="28"/>
      <c r="CP166" s="28"/>
      <c r="CQ166" s="28"/>
      <c r="CR166" s="28"/>
      <c r="CS166" s="28"/>
      <c r="CT166" s="28"/>
      <c r="CU166" s="28"/>
      <c r="CV166" s="28"/>
      <c r="CW166" s="28"/>
      <c r="CX166" s="28"/>
      <c r="CY166" s="28"/>
      <c r="CZ166" s="28"/>
      <c r="DA166" s="28"/>
      <c r="DB166" s="28"/>
      <c r="DC166" s="28"/>
      <c r="DD166" s="28"/>
      <c r="DF166" s="55"/>
      <c r="DX166" s="28"/>
    </row>
    <row r="167" spans="1:128" s="19" customFormat="1" ht="16" customHeight="1">
      <c r="A167" s="18"/>
      <c r="B167" s="17"/>
      <c r="C167" s="16"/>
      <c r="D167" s="16"/>
      <c r="E167" s="16"/>
      <c r="F167" s="16"/>
      <c r="G167" s="16"/>
      <c r="H167" s="20"/>
      <c r="I167" s="20"/>
      <c r="J167" s="20"/>
      <c r="K167" s="20"/>
      <c r="L167" s="20"/>
      <c r="M167" s="20"/>
      <c r="N167" s="20"/>
      <c r="O167" s="20"/>
      <c r="P167" s="20"/>
      <c r="Q167" s="20"/>
      <c r="R167" s="20"/>
      <c r="S167" s="20"/>
      <c r="T167"/>
      <c r="U167"/>
      <c r="V167"/>
      <c r="W167"/>
      <c r="X167"/>
      <c r="Y167"/>
      <c r="Z167" s="16"/>
      <c r="AA167" s="16"/>
      <c r="AB167" s="55"/>
      <c r="AC167"/>
      <c r="AD167"/>
      <c r="AE167"/>
      <c r="AF167"/>
      <c r="AG167"/>
      <c r="AH167"/>
      <c r="AI167"/>
      <c r="AJ167"/>
      <c r="AK167"/>
      <c r="AL167"/>
      <c r="AM167"/>
      <c r="AN167"/>
      <c r="AO167"/>
      <c r="AP167"/>
      <c r="AQ167"/>
      <c r="AS167" s="55"/>
      <c r="AT167"/>
      <c r="AU167" s="41"/>
      <c r="AV167" s="16"/>
      <c r="AW167" s="16"/>
      <c r="AX167" s="16"/>
      <c r="AY167" s="16"/>
      <c r="AZ167" s="16"/>
      <c r="BA167" s="16"/>
      <c r="BB167" s="16"/>
      <c r="BC167" s="16"/>
      <c r="BD167" s="16"/>
      <c r="BE167" s="16"/>
      <c r="BF167" s="16"/>
      <c r="BG167" s="16"/>
      <c r="BH167" s="16"/>
      <c r="BI167"/>
      <c r="BJ167"/>
      <c r="BK167"/>
      <c r="BL167"/>
      <c r="BM167"/>
      <c r="BN167"/>
      <c r="BO167"/>
      <c r="BP167"/>
      <c r="BQ167" s="55"/>
      <c r="BR167"/>
      <c r="BS167"/>
      <c r="BT167"/>
      <c r="BU167"/>
      <c r="BV167"/>
      <c r="BW167"/>
      <c r="BX167"/>
      <c r="BY167"/>
      <c r="BZ167"/>
      <c r="CA167"/>
      <c r="CB167"/>
      <c r="CC167"/>
      <c r="CD167"/>
      <c r="CE167"/>
      <c r="CF167"/>
      <c r="CH167" s="55"/>
      <c r="CI167"/>
      <c r="CJ167" s="16"/>
      <c r="CK167" s="16"/>
      <c r="CL167" s="28"/>
      <c r="CM167" s="28"/>
      <c r="CN167" s="28"/>
      <c r="CO167" s="28"/>
      <c r="CP167" s="28"/>
      <c r="CQ167" s="28"/>
      <c r="CR167" s="28"/>
      <c r="CS167" s="28"/>
      <c r="CT167" s="28"/>
      <c r="CU167" s="28"/>
      <c r="CV167" s="28"/>
      <c r="CW167" s="28"/>
      <c r="CX167" s="28"/>
      <c r="CY167" s="28"/>
      <c r="CZ167" s="28"/>
      <c r="DA167" s="28"/>
      <c r="DB167" s="28"/>
      <c r="DC167" s="28"/>
      <c r="DD167" s="28"/>
      <c r="DF167" s="55"/>
      <c r="DX167" s="28"/>
    </row>
    <row r="168" spans="1:128" s="19" customFormat="1" ht="16" customHeight="1">
      <c r="A168" s="18"/>
      <c r="B168" s="17"/>
      <c r="C168" s="16"/>
      <c r="D168" s="16"/>
      <c r="E168" s="16"/>
      <c r="F168" s="16"/>
      <c r="G168" s="16"/>
      <c r="H168" s="20"/>
      <c r="I168" s="20"/>
      <c r="J168" s="20"/>
      <c r="K168" s="20"/>
      <c r="L168" s="20"/>
      <c r="M168" s="20"/>
      <c r="N168" s="20"/>
      <c r="O168" s="20"/>
      <c r="P168" s="20"/>
      <c r="Q168" s="20"/>
      <c r="R168" s="20"/>
      <c r="S168" s="20"/>
      <c r="T168"/>
      <c r="U168"/>
      <c r="V168"/>
      <c r="W168"/>
      <c r="X168"/>
      <c r="Y168"/>
      <c r="Z168" s="16"/>
      <c r="AA168" s="16"/>
      <c r="AB168" s="55"/>
      <c r="AC168"/>
      <c r="AD168"/>
      <c r="AE168"/>
      <c r="AF168"/>
      <c r="AG168"/>
      <c r="AH168"/>
      <c r="AI168"/>
      <c r="AJ168"/>
      <c r="AK168"/>
      <c r="AL168"/>
      <c r="AM168"/>
      <c r="AN168"/>
      <c r="AO168"/>
      <c r="AP168"/>
      <c r="AQ168"/>
      <c r="AS168" s="55"/>
      <c r="AT168"/>
      <c r="AU168" s="41"/>
      <c r="AV168" s="16"/>
      <c r="AW168" s="16"/>
      <c r="AX168" s="16"/>
      <c r="AY168" s="16"/>
      <c r="AZ168" s="16"/>
      <c r="BA168" s="16"/>
      <c r="BB168" s="16"/>
      <c r="BC168" s="16"/>
      <c r="BD168" s="16"/>
      <c r="BE168" s="16"/>
      <c r="BF168" s="16"/>
      <c r="BG168" s="16"/>
      <c r="BH168" s="16"/>
      <c r="BI168"/>
      <c r="BJ168"/>
      <c r="BK168"/>
      <c r="BL168"/>
      <c r="BM168"/>
      <c r="BN168"/>
      <c r="BO168"/>
      <c r="BP168"/>
      <c r="BQ168" s="55"/>
      <c r="BR168"/>
      <c r="BS168"/>
      <c r="BT168"/>
      <c r="BU168"/>
      <c r="BV168"/>
      <c r="BW168"/>
      <c r="BX168"/>
      <c r="BY168"/>
      <c r="BZ168"/>
      <c r="CA168"/>
      <c r="CB168"/>
      <c r="CC168"/>
      <c r="CD168"/>
      <c r="CE168"/>
      <c r="CF168"/>
      <c r="CH168" s="55"/>
      <c r="CI168"/>
      <c r="CJ168" s="16"/>
      <c r="CK168" s="16"/>
      <c r="CL168" s="28"/>
      <c r="CM168" s="28"/>
      <c r="CN168" s="28"/>
      <c r="CO168" s="28"/>
      <c r="CP168" s="28"/>
      <c r="CQ168" s="28"/>
      <c r="CR168" s="28"/>
      <c r="CS168" s="28"/>
      <c r="CT168" s="28"/>
      <c r="CU168" s="28"/>
      <c r="CV168" s="28"/>
      <c r="CW168" s="28"/>
      <c r="CX168" s="28"/>
      <c r="CY168" s="28"/>
      <c r="CZ168" s="28"/>
      <c r="DA168" s="28"/>
      <c r="DB168" s="28"/>
      <c r="DC168" s="28"/>
      <c r="DD168" s="28"/>
      <c r="DF168" s="55"/>
      <c r="DX168" s="28"/>
    </row>
    <row r="169" spans="1:128" s="19" customFormat="1" ht="16" customHeight="1">
      <c r="A169" s="18"/>
      <c r="B169" s="17"/>
      <c r="C169" s="16"/>
      <c r="D169" s="16"/>
      <c r="E169" s="16"/>
      <c r="F169" s="16"/>
      <c r="G169" s="16"/>
      <c r="H169" s="20"/>
      <c r="I169" s="20"/>
      <c r="J169" s="20"/>
      <c r="K169" s="20"/>
      <c r="L169" s="20"/>
      <c r="M169" s="20"/>
      <c r="N169" s="20"/>
      <c r="O169" s="20"/>
      <c r="P169" s="20"/>
      <c r="Q169" s="20"/>
      <c r="R169" s="20"/>
      <c r="S169" s="20"/>
      <c r="T169"/>
      <c r="U169"/>
      <c r="V169"/>
      <c r="W169"/>
      <c r="X169"/>
      <c r="Y169"/>
      <c r="Z169" s="16"/>
      <c r="AA169" s="16"/>
      <c r="AB169" s="55"/>
      <c r="AC169"/>
      <c r="AD169"/>
      <c r="AE169"/>
      <c r="AF169"/>
      <c r="AG169"/>
      <c r="AH169"/>
      <c r="AI169"/>
      <c r="AJ169"/>
      <c r="AK169"/>
      <c r="AL169"/>
      <c r="AM169"/>
      <c r="AN169"/>
      <c r="AO169"/>
      <c r="AP169"/>
      <c r="AQ169"/>
      <c r="AS169" s="55"/>
      <c r="AT169"/>
      <c r="AU169" s="41"/>
      <c r="AV169" s="16"/>
      <c r="AW169" s="16"/>
      <c r="AX169" s="16"/>
      <c r="AY169" s="16"/>
      <c r="AZ169" s="16"/>
      <c r="BA169" s="16"/>
      <c r="BB169" s="16"/>
      <c r="BC169" s="16"/>
      <c r="BD169" s="16"/>
      <c r="BE169" s="16"/>
      <c r="BF169" s="16"/>
      <c r="BG169" s="16"/>
      <c r="BH169" s="16"/>
      <c r="BI169"/>
      <c r="BJ169"/>
      <c r="BK169"/>
      <c r="BL169"/>
      <c r="BM169"/>
      <c r="BN169"/>
      <c r="BO169"/>
      <c r="BP169"/>
      <c r="BQ169" s="55"/>
      <c r="BR169"/>
      <c r="BS169"/>
      <c r="BT169"/>
      <c r="BU169"/>
      <c r="BV169"/>
      <c r="BW169"/>
      <c r="BX169"/>
      <c r="BY169"/>
      <c r="BZ169"/>
      <c r="CA169"/>
      <c r="CB169"/>
      <c r="CC169"/>
      <c r="CD169"/>
      <c r="CE169"/>
      <c r="CF169"/>
      <c r="CH169" s="55"/>
      <c r="CI169"/>
      <c r="CJ169" s="16"/>
      <c r="CK169" s="16"/>
      <c r="CL169" s="28"/>
      <c r="CM169" s="28"/>
      <c r="CN169" s="28"/>
      <c r="CO169" s="28"/>
      <c r="CP169" s="28"/>
      <c r="CQ169" s="28"/>
      <c r="CR169" s="28"/>
      <c r="CS169" s="28"/>
      <c r="CT169" s="28"/>
      <c r="CU169" s="28"/>
      <c r="CV169" s="28"/>
      <c r="CW169" s="28"/>
      <c r="CX169" s="28"/>
      <c r="CY169" s="28"/>
      <c r="CZ169" s="28"/>
      <c r="DA169" s="28"/>
      <c r="DB169" s="28"/>
      <c r="DC169" s="28"/>
      <c r="DD169" s="28"/>
      <c r="DF169" s="55"/>
      <c r="DX169" s="28"/>
    </row>
    <row r="170" spans="1:128" s="19" customFormat="1" ht="16" customHeight="1">
      <c r="A170" s="18"/>
      <c r="B170" s="17"/>
      <c r="C170" s="16"/>
      <c r="D170" s="16"/>
      <c r="E170" s="16"/>
      <c r="F170" s="16"/>
      <c r="G170" s="16"/>
      <c r="H170" s="20"/>
      <c r="I170" s="20"/>
      <c r="J170" s="20"/>
      <c r="K170" s="20"/>
      <c r="L170" s="20"/>
      <c r="M170" s="20"/>
      <c r="N170" s="20"/>
      <c r="O170" s="20"/>
      <c r="P170" s="20"/>
      <c r="Q170" s="20"/>
      <c r="R170" s="20"/>
      <c r="S170" s="20"/>
      <c r="T170"/>
      <c r="U170"/>
      <c r="V170"/>
      <c r="W170"/>
      <c r="X170"/>
      <c r="Y170"/>
      <c r="Z170" s="16"/>
      <c r="AA170" s="16"/>
      <c r="AB170" s="55"/>
      <c r="AC170"/>
      <c r="AD170"/>
      <c r="AE170"/>
      <c r="AF170"/>
      <c r="AG170"/>
      <c r="AH170"/>
      <c r="AI170"/>
      <c r="AJ170"/>
      <c r="AK170"/>
      <c r="AL170"/>
      <c r="AM170"/>
      <c r="AN170"/>
      <c r="AO170"/>
      <c r="AP170"/>
      <c r="AQ170"/>
      <c r="AS170" s="55"/>
      <c r="AT170"/>
      <c r="AU170" s="41"/>
      <c r="AV170" s="16"/>
      <c r="AW170" s="16"/>
      <c r="AX170" s="16"/>
      <c r="AY170" s="16"/>
      <c r="AZ170" s="16"/>
      <c r="BA170" s="16"/>
      <c r="BB170" s="16"/>
      <c r="BC170" s="16"/>
      <c r="BD170" s="16"/>
      <c r="BE170" s="16"/>
      <c r="BF170" s="16"/>
      <c r="BG170" s="16"/>
      <c r="BH170" s="16"/>
      <c r="BI170"/>
      <c r="BJ170"/>
      <c r="BK170"/>
      <c r="BL170"/>
      <c r="BM170"/>
      <c r="BN170"/>
      <c r="BO170"/>
      <c r="BP170"/>
      <c r="BQ170" s="55"/>
      <c r="BR170"/>
      <c r="BS170"/>
      <c r="BT170"/>
      <c r="BU170"/>
      <c r="BV170"/>
      <c r="BW170"/>
      <c r="BX170"/>
      <c r="BY170"/>
      <c r="BZ170"/>
      <c r="CA170"/>
      <c r="CB170"/>
      <c r="CC170"/>
      <c r="CD170"/>
      <c r="CE170"/>
      <c r="CF170"/>
      <c r="CH170" s="55"/>
      <c r="CI170"/>
      <c r="CJ170" s="16"/>
      <c r="CK170" s="16"/>
      <c r="CL170" s="28"/>
      <c r="CM170" s="28"/>
      <c r="CN170" s="28"/>
      <c r="CO170" s="28"/>
      <c r="CP170" s="28"/>
      <c r="CQ170" s="28"/>
      <c r="CR170" s="28"/>
      <c r="CS170" s="28"/>
      <c r="CT170" s="28"/>
      <c r="CU170" s="28"/>
      <c r="CV170" s="28"/>
      <c r="CW170" s="28"/>
      <c r="CX170" s="28"/>
      <c r="CY170" s="28"/>
      <c r="CZ170" s="28"/>
      <c r="DA170" s="28"/>
      <c r="DB170" s="28"/>
      <c r="DC170" s="28"/>
      <c r="DD170" s="28"/>
      <c r="DF170" s="55"/>
      <c r="DX170" s="28"/>
    </row>
    <row r="171" spans="1:128" s="19" customFormat="1" ht="16" customHeight="1">
      <c r="A171" s="18"/>
      <c r="B171" s="17"/>
      <c r="C171" s="16"/>
      <c r="D171" s="16"/>
      <c r="E171" s="16"/>
      <c r="F171" s="16"/>
      <c r="G171" s="16"/>
      <c r="H171" s="20"/>
      <c r="I171" s="20"/>
      <c r="J171" s="20"/>
      <c r="K171" s="20"/>
      <c r="L171" s="20"/>
      <c r="M171" s="20"/>
      <c r="N171" s="20"/>
      <c r="O171" s="20"/>
      <c r="P171" s="20"/>
      <c r="Q171" s="20"/>
      <c r="R171" s="20"/>
      <c r="S171" s="20"/>
      <c r="T171"/>
      <c r="U171"/>
      <c r="V171"/>
      <c r="W171"/>
      <c r="X171"/>
      <c r="Y171"/>
      <c r="Z171" s="16"/>
      <c r="AA171" s="16"/>
      <c r="AB171" s="55"/>
      <c r="AC171"/>
      <c r="AD171"/>
      <c r="AE171"/>
      <c r="AF171"/>
      <c r="AG171"/>
      <c r="AH171"/>
      <c r="AI171"/>
      <c r="AJ171"/>
      <c r="AK171"/>
      <c r="AL171"/>
      <c r="AM171"/>
      <c r="AN171"/>
      <c r="AO171"/>
      <c r="AP171"/>
      <c r="AQ171"/>
      <c r="AS171" s="55"/>
      <c r="AT171"/>
      <c r="AU171" s="41"/>
      <c r="AV171" s="16"/>
      <c r="AW171" s="16"/>
      <c r="AX171" s="16"/>
      <c r="AY171" s="16"/>
      <c r="AZ171" s="16"/>
      <c r="BA171" s="16"/>
      <c r="BB171" s="16"/>
      <c r="BC171" s="16"/>
      <c r="BD171" s="16"/>
      <c r="BE171" s="16"/>
      <c r="BF171" s="16"/>
      <c r="BG171" s="16"/>
      <c r="BH171" s="16"/>
      <c r="BI171"/>
      <c r="BJ171"/>
      <c r="BK171"/>
      <c r="BL171"/>
      <c r="BM171"/>
      <c r="BN171"/>
      <c r="BO171"/>
      <c r="BP171"/>
      <c r="BQ171" s="55"/>
      <c r="BR171"/>
      <c r="BS171"/>
      <c r="BT171"/>
      <c r="BU171"/>
      <c r="BV171"/>
      <c r="BW171"/>
      <c r="BX171"/>
      <c r="BY171"/>
      <c r="BZ171"/>
      <c r="CA171"/>
      <c r="CB171"/>
      <c r="CC171"/>
      <c r="CD171"/>
      <c r="CE171"/>
      <c r="CF171"/>
      <c r="CH171" s="55"/>
      <c r="CI171"/>
      <c r="CJ171" s="16"/>
      <c r="CK171" s="16"/>
      <c r="CL171" s="28"/>
      <c r="CM171" s="28"/>
      <c r="CN171" s="28"/>
      <c r="CO171" s="28"/>
      <c r="CP171" s="28"/>
      <c r="CQ171" s="28"/>
      <c r="CR171" s="28"/>
      <c r="CS171" s="28"/>
      <c r="CT171" s="28"/>
      <c r="CU171" s="28"/>
      <c r="CV171" s="28"/>
      <c r="CW171" s="28"/>
      <c r="CX171" s="28"/>
      <c r="CY171" s="28"/>
      <c r="CZ171" s="28"/>
      <c r="DA171" s="28"/>
      <c r="DB171" s="28"/>
      <c r="DC171" s="28"/>
      <c r="DD171" s="28"/>
      <c r="DF171" s="55"/>
      <c r="DX171" s="28"/>
    </row>
    <row r="172" spans="1:128" s="19" customFormat="1" ht="16" customHeight="1">
      <c r="A172" s="18"/>
      <c r="B172" s="17"/>
      <c r="C172" s="16"/>
      <c r="D172" s="16"/>
      <c r="E172" s="16"/>
      <c r="F172" s="16"/>
      <c r="G172" s="16"/>
      <c r="H172" s="20"/>
      <c r="I172" s="20"/>
      <c r="J172" s="20"/>
      <c r="K172" s="20"/>
      <c r="L172" s="20"/>
      <c r="M172" s="20"/>
      <c r="N172" s="20"/>
      <c r="O172" s="20"/>
      <c r="P172" s="20"/>
      <c r="Q172" s="20"/>
      <c r="R172" s="20"/>
      <c r="S172" s="20"/>
      <c r="T172"/>
      <c r="U172"/>
      <c r="V172"/>
      <c r="W172"/>
      <c r="X172"/>
      <c r="Y172"/>
      <c r="Z172" s="16"/>
      <c r="AA172" s="16"/>
      <c r="AB172" s="55"/>
      <c r="AC172"/>
      <c r="AD172"/>
      <c r="AE172"/>
      <c r="AF172"/>
      <c r="AG172"/>
      <c r="AH172"/>
      <c r="AI172"/>
      <c r="AJ172"/>
      <c r="AK172"/>
      <c r="AL172"/>
      <c r="AM172"/>
      <c r="AN172"/>
      <c r="AO172"/>
      <c r="AP172"/>
      <c r="AQ172"/>
      <c r="AS172" s="55"/>
      <c r="AT172"/>
      <c r="AU172" s="41"/>
      <c r="AV172" s="16"/>
      <c r="AW172" s="16"/>
      <c r="AX172" s="16"/>
      <c r="AY172" s="16"/>
      <c r="AZ172" s="16"/>
      <c r="BA172" s="16"/>
      <c r="BB172" s="16"/>
      <c r="BC172" s="16"/>
      <c r="BD172" s="16"/>
      <c r="BE172" s="16"/>
      <c r="BF172" s="16"/>
      <c r="BG172" s="16"/>
      <c r="BH172" s="16"/>
      <c r="BI172"/>
      <c r="BJ172"/>
      <c r="BK172"/>
      <c r="BL172"/>
      <c r="BM172"/>
      <c r="BN172"/>
      <c r="BO172"/>
      <c r="BP172"/>
      <c r="BQ172" s="55"/>
      <c r="BR172"/>
      <c r="BS172"/>
      <c r="BT172"/>
      <c r="BU172"/>
      <c r="BV172"/>
      <c r="BW172"/>
      <c r="BX172"/>
      <c r="BY172"/>
      <c r="BZ172"/>
      <c r="CA172"/>
      <c r="CB172"/>
      <c r="CC172"/>
      <c r="CD172"/>
      <c r="CE172"/>
      <c r="CF172"/>
      <c r="CH172" s="55"/>
      <c r="CI172"/>
      <c r="CJ172" s="16"/>
      <c r="CK172" s="16"/>
      <c r="CL172" s="28"/>
      <c r="CM172" s="28"/>
      <c r="CN172" s="28"/>
      <c r="CO172" s="28"/>
      <c r="CP172" s="28"/>
      <c r="CQ172" s="28"/>
      <c r="CR172" s="28"/>
      <c r="CS172" s="28"/>
      <c r="CT172" s="28"/>
      <c r="CU172" s="28"/>
      <c r="CV172" s="28"/>
      <c r="CW172" s="28"/>
      <c r="CX172" s="28"/>
      <c r="CY172" s="28"/>
      <c r="CZ172" s="28"/>
      <c r="DA172" s="28"/>
      <c r="DB172" s="28"/>
      <c r="DC172" s="28"/>
      <c r="DD172" s="28"/>
      <c r="DF172" s="55"/>
      <c r="DX172" s="28"/>
    </row>
    <row r="173" spans="1:128" s="19" customFormat="1" ht="16" customHeight="1">
      <c r="A173" s="18"/>
      <c r="B173" s="17"/>
      <c r="C173" s="16"/>
      <c r="D173" s="16"/>
      <c r="E173" s="16"/>
      <c r="F173" s="16"/>
      <c r="G173" s="16"/>
      <c r="H173" s="20"/>
      <c r="I173" s="20"/>
      <c r="J173" s="20"/>
      <c r="K173" s="20"/>
      <c r="L173" s="20"/>
      <c r="M173" s="20"/>
      <c r="N173" s="20"/>
      <c r="O173" s="20"/>
      <c r="P173" s="20"/>
      <c r="Q173" s="20"/>
      <c r="R173" s="20"/>
      <c r="S173" s="20"/>
      <c r="T173"/>
      <c r="U173"/>
      <c r="V173"/>
      <c r="W173"/>
      <c r="X173"/>
      <c r="Y173"/>
      <c r="Z173" s="16"/>
      <c r="AA173" s="16"/>
      <c r="AB173" s="55"/>
      <c r="AC173"/>
      <c r="AD173"/>
      <c r="AE173"/>
      <c r="AF173"/>
      <c r="AG173"/>
      <c r="AH173"/>
      <c r="AI173"/>
      <c r="AJ173"/>
      <c r="AK173"/>
      <c r="AL173"/>
      <c r="AM173"/>
      <c r="AN173"/>
      <c r="AO173"/>
      <c r="AP173"/>
      <c r="AQ173"/>
      <c r="AS173" s="55"/>
      <c r="AT173"/>
      <c r="AU173" s="41"/>
      <c r="AV173" s="16"/>
      <c r="AW173" s="16"/>
      <c r="AX173" s="16"/>
      <c r="AY173" s="16"/>
      <c r="AZ173" s="16"/>
      <c r="BA173" s="16"/>
      <c r="BB173" s="16"/>
      <c r="BC173" s="16"/>
      <c r="BD173" s="16"/>
      <c r="BE173" s="16"/>
      <c r="BF173" s="16"/>
      <c r="BG173" s="16"/>
      <c r="BH173" s="16"/>
      <c r="BI173"/>
      <c r="BJ173"/>
      <c r="BK173"/>
      <c r="BL173"/>
      <c r="BM173"/>
      <c r="BN173"/>
      <c r="BO173"/>
      <c r="BP173"/>
      <c r="BQ173" s="55"/>
      <c r="BR173"/>
      <c r="BS173"/>
      <c r="BT173"/>
      <c r="BU173"/>
      <c r="BV173"/>
      <c r="BW173"/>
      <c r="BX173"/>
      <c r="BY173"/>
      <c r="BZ173"/>
      <c r="CA173"/>
      <c r="CB173"/>
      <c r="CC173"/>
      <c r="CD173"/>
      <c r="CE173"/>
      <c r="CF173"/>
      <c r="CH173" s="55"/>
      <c r="CI173"/>
      <c r="CJ173" s="16"/>
      <c r="CK173" s="16"/>
      <c r="CL173" s="28"/>
      <c r="CM173" s="28"/>
      <c r="CN173" s="28"/>
      <c r="CO173" s="28"/>
      <c r="CP173" s="28"/>
      <c r="CQ173" s="28"/>
      <c r="CR173" s="28"/>
      <c r="CS173" s="28"/>
      <c r="CT173" s="28"/>
      <c r="CU173" s="28"/>
      <c r="CV173" s="28"/>
      <c r="CW173" s="28"/>
      <c r="CX173" s="28"/>
      <c r="CY173" s="28"/>
      <c r="CZ173" s="28"/>
      <c r="DA173" s="28"/>
      <c r="DB173" s="28"/>
      <c r="DC173" s="28"/>
      <c r="DD173" s="28"/>
      <c r="DF173" s="55"/>
      <c r="DX173" s="28"/>
    </row>
    <row r="174" spans="1:128" s="19" customFormat="1" ht="16" customHeight="1">
      <c r="A174" s="18"/>
      <c r="B174" s="17"/>
      <c r="C174" s="16"/>
      <c r="D174" s="16"/>
      <c r="E174" s="16"/>
      <c r="F174" s="16"/>
      <c r="G174" s="16"/>
      <c r="H174" s="20"/>
      <c r="I174" s="20"/>
      <c r="J174" s="20"/>
      <c r="K174" s="20"/>
      <c r="L174" s="20"/>
      <c r="M174" s="20"/>
      <c r="N174" s="20"/>
      <c r="O174" s="20"/>
      <c r="P174" s="20"/>
      <c r="Q174" s="20"/>
      <c r="R174" s="20"/>
      <c r="S174" s="20"/>
      <c r="T174"/>
      <c r="U174"/>
      <c r="V174"/>
      <c r="W174"/>
      <c r="X174"/>
      <c r="Y174"/>
      <c r="Z174" s="16"/>
      <c r="AA174" s="16"/>
      <c r="AB174" s="55"/>
      <c r="AC174"/>
      <c r="AD174"/>
      <c r="AE174"/>
      <c r="AF174"/>
      <c r="AG174"/>
      <c r="AH174"/>
      <c r="AI174"/>
      <c r="AJ174"/>
      <c r="AK174"/>
      <c r="AL174"/>
      <c r="AM174"/>
      <c r="AN174"/>
      <c r="AO174"/>
      <c r="AP174"/>
      <c r="AQ174"/>
      <c r="AS174" s="55"/>
      <c r="AT174"/>
      <c r="AU174" s="41"/>
      <c r="AV174" s="16"/>
      <c r="AW174" s="16"/>
      <c r="AX174" s="16"/>
      <c r="AY174" s="16"/>
      <c r="AZ174" s="16"/>
      <c r="BA174" s="16"/>
      <c r="BB174" s="16"/>
      <c r="BC174" s="16"/>
      <c r="BD174" s="16"/>
      <c r="BE174" s="16"/>
      <c r="BF174" s="16"/>
      <c r="BG174" s="16"/>
      <c r="BH174" s="16"/>
      <c r="BI174"/>
      <c r="BJ174"/>
      <c r="BK174"/>
      <c r="BL174"/>
      <c r="BM174"/>
      <c r="BN174"/>
      <c r="BO174"/>
      <c r="BP174"/>
      <c r="BQ174" s="55"/>
      <c r="BR174"/>
      <c r="BS174"/>
      <c r="BT174"/>
      <c r="BU174"/>
      <c r="BV174"/>
      <c r="BW174"/>
      <c r="BX174"/>
      <c r="BY174"/>
      <c r="BZ174"/>
      <c r="CA174"/>
      <c r="CB174"/>
      <c r="CC174"/>
      <c r="CD174"/>
      <c r="CE174"/>
      <c r="CF174"/>
      <c r="CH174" s="55"/>
      <c r="CI174"/>
      <c r="CJ174" s="16"/>
      <c r="CK174" s="16"/>
      <c r="CL174" s="28"/>
      <c r="CM174" s="28"/>
      <c r="CN174" s="28"/>
      <c r="CO174" s="28"/>
      <c r="CP174" s="28"/>
      <c r="CQ174" s="28"/>
      <c r="CR174" s="28"/>
      <c r="CS174" s="28"/>
      <c r="CT174" s="28"/>
      <c r="CU174" s="28"/>
      <c r="CV174" s="28"/>
      <c r="CW174" s="28"/>
      <c r="CX174" s="28"/>
      <c r="CY174" s="28"/>
      <c r="CZ174" s="28"/>
      <c r="DA174" s="28"/>
      <c r="DB174" s="28"/>
      <c r="DC174" s="28"/>
      <c r="DD174" s="28"/>
      <c r="DF174" s="55"/>
      <c r="DX174" s="28"/>
    </row>
    <row r="175" spans="1:128" s="19" customFormat="1" ht="16" customHeight="1">
      <c r="A175" s="18"/>
      <c r="B175" s="17"/>
      <c r="C175" s="16"/>
      <c r="D175" s="16"/>
      <c r="E175" s="16"/>
      <c r="F175" s="16"/>
      <c r="G175" s="16"/>
      <c r="H175" s="20"/>
      <c r="I175" s="20"/>
      <c r="J175" s="20"/>
      <c r="K175" s="20"/>
      <c r="L175" s="20"/>
      <c r="M175" s="20"/>
      <c r="N175" s="20"/>
      <c r="O175" s="20"/>
      <c r="P175" s="20"/>
      <c r="Q175" s="20"/>
      <c r="R175" s="20"/>
      <c r="S175" s="20"/>
      <c r="T175"/>
      <c r="U175"/>
      <c r="V175"/>
      <c r="W175"/>
      <c r="X175"/>
      <c r="Y175"/>
      <c r="Z175" s="16"/>
      <c r="AA175" s="16"/>
      <c r="AB175" s="55"/>
      <c r="AC175"/>
      <c r="AD175"/>
      <c r="AE175"/>
      <c r="AF175"/>
      <c r="AG175"/>
      <c r="AH175"/>
      <c r="AI175"/>
      <c r="AJ175"/>
      <c r="AK175"/>
      <c r="AL175"/>
      <c r="AM175"/>
      <c r="AN175"/>
      <c r="AO175"/>
      <c r="AP175"/>
      <c r="AQ175"/>
      <c r="AS175" s="55"/>
      <c r="AT175"/>
      <c r="AU175" s="41"/>
      <c r="AV175" s="16"/>
      <c r="AW175" s="16"/>
      <c r="AX175" s="16"/>
      <c r="AY175" s="16"/>
      <c r="AZ175" s="16"/>
      <c r="BA175" s="16"/>
      <c r="BB175" s="16"/>
      <c r="BC175" s="16"/>
      <c r="BD175" s="16"/>
      <c r="BE175" s="16"/>
      <c r="BF175" s="16"/>
      <c r="BG175" s="16"/>
      <c r="BH175" s="16"/>
      <c r="BI175"/>
      <c r="BJ175"/>
      <c r="BK175"/>
      <c r="BL175"/>
      <c r="BM175"/>
      <c r="BN175"/>
      <c r="BO175"/>
      <c r="BP175"/>
      <c r="BQ175" s="55"/>
      <c r="BR175"/>
      <c r="BS175"/>
      <c r="BT175"/>
      <c r="BU175"/>
      <c r="BV175"/>
      <c r="BW175"/>
      <c r="BX175"/>
      <c r="BY175"/>
      <c r="BZ175"/>
      <c r="CA175"/>
      <c r="CB175"/>
      <c r="CC175"/>
      <c r="CD175"/>
      <c r="CE175"/>
      <c r="CF175"/>
      <c r="CH175" s="55"/>
      <c r="CI175"/>
      <c r="CJ175" s="16"/>
      <c r="CK175" s="16"/>
      <c r="CL175" s="28"/>
      <c r="CM175" s="28"/>
      <c r="CN175" s="28"/>
      <c r="CO175" s="28"/>
      <c r="CP175" s="28"/>
      <c r="CQ175" s="28"/>
      <c r="CR175" s="28"/>
      <c r="CS175" s="28"/>
      <c r="CT175" s="28"/>
      <c r="CU175" s="28"/>
      <c r="CV175" s="28"/>
      <c r="CW175" s="28"/>
      <c r="CX175" s="28"/>
      <c r="CY175" s="28"/>
      <c r="CZ175" s="28"/>
      <c r="DA175" s="28"/>
      <c r="DB175" s="28"/>
      <c r="DC175" s="28"/>
      <c r="DD175" s="28"/>
      <c r="DF175" s="55"/>
      <c r="DX175" s="28"/>
    </row>
    <row r="176" spans="1:128" s="19" customFormat="1" ht="16" customHeight="1">
      <c r="A176" s="18"/>
      <c r="B176" s="17"/>
      <c r="C176" s="16"/>
      <c r="D176" s="16"/>
      <c r="E176" s="16"/>
      <c r="F176" s="16"/>
      <c r="G176" s="16"/>
      <c r="H176" s="20"/>
      <c r="I176" s="20"/>
      <c r="J176" s="20"/>
      <c r="K176" s="20"/>
      <c r="L176" s="20"/>
      <c r="M176" s="20"/>
      <c r="N176" s="20"/>
      <c r="O176" s="20"/>
      <c r="P176" s="20"/>
      <c r="Q176" s="20"/>
      <c r="R176" s="20"/>
      <c r="S176" s="20"/>
      <c r="T176"/>
      <c r="U176"/>
      <c r="V176"/>
      <c r="W176"/>
      <c r="X176"/>
      <c r="Y176"/>
      <c r="Z176" s="16"/>
      <c r="AA176" s="16"/>
      <c r="AB176" s="55"/>
      <c r="AC176"/>
      <c r="AD176"/>
      <c r="AE176"/>
      <c r="AF176"/>
      <c r="AG176"/>
      <c r="AH176"/>
      <c r="AI176"/>
      <c r="AJ176"/>
      <c r="AK176"/>
      <c r="AL176"/>
      <c r="AM176"/>
      <c r="AN176"/>
      <c r="AO176"/>
      <c r="AP176"/>
      <c r="AQ176"/>
      <c r="AS176" s="55"/>
      <c r="AT176"/>
      <c r="AU176" s="41"/>
      <c r="AV176" s="16"/>
      <c r="AW176" s="16"/>
      <c r="AX176" s="16"/>
      <c r="AY176" s="16"/>
      <c r="AZ176" s="16"/>
      <c r="BA176" s="16"/>
      <c r="BB176" s="16"/>
      <c r="BC176" s="16"/>
      <c r="BD176" s="16"/>
      <c r="BE176" s="16"/>
      <c r="BF176" s="16"/>
      <c r="BG176" s="16"/>
      <c r="BH176" s="16"/>
      <c r="BI176"/>
      <c r="BJ176"/>
      <c r="BK176"/>
      <c r="BL176"/>
      <c r="BM176"/>
      <c r="BN176"/>
      <c r="BO176"/>
      <c r="BP176"/>
      <c r="BQ176" s="55"/>
      <c r="BR176"/>
      <c r="BS176"/>
      <c r="BT176"/>
      <c r="BU176"/>
      <c r="BV176"/>
      <c r="BW176"/>
      <c r="BX176"/>
      <c r="BY176"/>
      <c r="BZ176"/>
      <c r="CA176"/>
      <c r="CB176"/>
      <c r="CC176"/>
      <c r="CD176"/>
      <c r="CE176"/>
      <c r="CF176"/>
      <c r="CH176" s="55"/>
      <c r="CI176"/>
      <c r="CJ176" s="16"/>
      <c r="CK176" s="16"/>
      <c r="CL176" s="28"/>
      <c r="CM176" s="28"/>
      <c r="CN176" s="28"/>
      <c r="CO176" s="28"/>
      <c r="CP176" s="28"/>
      <c r="CQ176" s="28"/>
      <c r="CR176" s="28"/>
      <c r="CS176" s="28"/>
      <c r="CT176" s="28"/>
      <c r="CU176" s="28"/>
      <c r="CV176" s="28"/>
      <c r="CW176" s="28"/>
      <c r="CX176" s="28"/>
      <c r="CY176" s="28"/>
      <c r="CZ176" s="28"/>
      <c r="DA176" s="28"/>
      <c r="DB176" s="28"/>
      <c r="DC176" s="28"/>
      <c r="DD176" s="28"/>
      <c r="DF176" s="55"/>
      <c r="DX176" s="28"/>
    </row>
    <row r="177" spans="1:128" s="19" customFormat="1" ht="16" customHeight="1">
      <c r="A177" s="18"/>
      <c r="B177" s="17"/>
      <c r="C177" s="16"/>
      <c r="D177" s="16"/>
      <c r="E177" s="16"/>
      <c r="F177" s="16"/>
      <c r="G177" s="16"/>
      <c r="H177" s="20"/>
      <c r="I177" s="20"/>
      <c r="J177" s="20"/>
      <c r="K177" s="20"/>
      <c r="L177" s="20"/>
      <c r="M177" s="20"/>
      <c r="N177" s="20"/>
      <c r="O177" s="20"/>
      <c r="P177" s="20"/>
      <c r="Q177" s="20"/>
      <c r="R177" s="20"/>
      <c r="S177" s="20"/>
      <c r="T177"/>
      <c r="U177"/>
      <c r="V177"/>
      <c r="W177"/>
      <c r="X177"/>
      <c r="Y177"/>
      <c r="Z177" s="16"/>
      <c r="AA177" s="16"/>
      <c r="AB177" s="55"/>
      <c r="AC177"/>
      <c r="AD177"/>
      <c r="AE177"/>
      <c r="AF177"/>
      <c r="AG177"/>
      <c r="AH177"/>
      <c r="AI177"/>
      <c r="AJ177"/>
      <c r="AK177"/>
      <c r="AL177"/>
      <c r="AM177"/>
      <c r="AN177"/>
      <c r="AO177"/>
      <c r="AP177"/>
      <c r="AQ177"/>
      <c r="AS177" s="55"/>
      <c r="AT177"/>
      <c r="AU177" s="41"/>
      <c r="AV177" s="16"/>
      <c r="AW177" s="16"/>
      <c r="AX177" s="16"/>
      <c r="AY177" s="16"/>
      <c r="AZ177" s="16"/>
      <c r="BA177" s="16"/>
      <c r="BB177" s="16"/>
      <c r="BC177" s="16"/>
      <c r="BD177" s="16"/>
      <c r="BE177" s="16"/>
      <c r="BF177" s="16"/>
      <c r="BG177" s="16"/>
      <c r="BH177" s="16"/>
      <c r="BI177"/>
      <c r="BJ177"/>
      <c r="BK177"/>
      <c r="BL177"/>
      <c r="BM177"/>
      <c r="BN177"/>
      <c r="BO177"/>
      <c r="BP177"/>
      <c r="BQ177" s="55"/>
      <c r="BR177"/>
      <c r="BS177"/>
      <c r="BT177"/>
      <c r="BU177"/>
      <c r="BV177"/>
      <c r="BW177"/>
      <c r="BX177"/>
      <c r="BY177"/>
      <c r="BZ177"/>
      <c r="CA177"/>
      <c r="CB177"/>
      <c r="CC177"/>
      <c r="CD177"/>
      <c r="CE177"/>
      <c r="CF177"/>
      <c r="CH177" s="55"/>
      <c r="CI177"/>
      <c r="CJ177" s="16"/>
      <c r="CK177" s="16"/>
      <c r="CL177" s="28"/>
      <c r="CM177" s="28"/>
      <c r="CN177" s="28"/>
      <c r="CO177" s="28"/>
      <c r="CP177" s="28"/>
      <c r="CQ177" s="28"/>
      <c r="CR177" s="28"/>
      <c r="CS177" s="28"/>
      <c r="CT177" s="28"/>
      <c r="CU177" s="28"/>
      <c r="CV177" s="28"/>
      <c r="CW177" s="28"/>
      <c r="CX177" s="28"/>
      <c r="CY177" s="28"/>
      <c r="CZ177" s="28"/>
      <c r="DA177" s="28"/>
      <c r="DB177" s="28"/>
      <c r="DC177" s="28"/>
      <c r="DD177" s="28"/>
      <c r="DF177" s="55"/>
      <c r="DX177" s="28"/>
    </row>
    <row r="178" spans="1:128" s="19" customFormat="1" ht="16" customHeight="1">
      <c r="A178" s="18"/>
      <c r="B178" s="17"/>
      <c r="C178" s="16"/>
      <c r="D178" s="16"/>
      <c r="E178" s="16"/>
      <c r="F178" s="16"/>
      <c r="G178" s="16"/>
      <c r="H178" s="20"/>
      <c r="I178" s="20"/>
      <c r="J178" s="20"/>
      <c r="K178" s="20"/>
      <c r="L178" s="20"/>
      <c r="M178" s="20"/>
      <c r="N178" s="20"/>
      <c r="O178" s="20"/>
      <c r="P178" s="20"/>
      <c r="Q178" s="20"/>
      <c r="R178" s="20"/>
      <c r="S178" s="20"/>
      <c r="T178"/>
      <c r="U178"/>
      <c r="V178"/>
      <c r="W178"/>
      <c r="X178"/>
      <c r="Y178"/>
      <c r="Z178" s="16"/>
      <c r="AA178" s="16"/>
      <c r="AB178" s="55"/>
      <c r="AC178"/>
      <c r="AD178"/>
      <c r="AE178"/>
      <c r="AF178"/>
      <c r="AG178"/>
      <c r="AH178"/>
      <c r="AI178"/>
      <c r="AJ178"/>
      <c r="AK178"/>
      <c r="AL178"/>
      <c r="AM178"/>
      <c r="AN178"/>
      <c r="AO178"/>
      <c r="AP178"/>
      <c r="AQ178"/>
      <c r="AS178" s="55"/>
      <c r="AT178"/>
      <c r="AU178" s="41"/>
      <c r="AV178" s="16"/>
      <c r="AW178" s="16"/>
      <c r="AX178" s="16"/>
      <c r="AY178" s="16"/>
      <c r="AZ178" s="16"/>
      <c r="BA178" s="16"/>
      <c r="BB178" s="16"/>
      <c r="BC178" s="16"/>
      <c r="BD178" s="16"/>
      <c r="BE178" s="16"/>
      <c r="BF178" s="16"/>
      <c r="BG178" s="16"/>
      <c r="BH178" s="16"/>
      <c r="BI178"/>
      <c r="BJ178"/>
      <c r="BK178"/>
      <c r="BL178"/>
      <c r="BM178"/>
      <c r="BN178"/>
      <c r="BO178"/>
      <c r="BP178"/>
      <c r="BQ178" s="55"/>
      <c r="BR178"/>
      <c r="BS178"/>
      <c r="BT178"/>
      <c r="BU178"/>
      <c r="BV178"/>
      <c r="BW178"/>
      <c r="BX178"/>
      <c r="BY178"/>
      <c r="BZ178"/>
      <c r="CA178"/>
      <c r="CB178"/>
      <c r="CC178"/>
      <c r="CD178"/>
      <c r="CE178"/>
      <c r="CF178"/>
      <c r="CH178" s="55"/>
      <c r="CI178"/>
      <c r="CJ178" s="16"/>
      <c r="CK178" s="16"/>
      <c r="CL178" s="28"/>
      <c r="CM178" s="28"/>
      <c r="CN178" s="28"/>
      <c r="CO178" s="28"/>
      <c r="CP178" s="28"/>
      <c r="CQ178" s="28"/>
      <c r="CR178" s="28"/>
      <c r="CS178" s="28"/>
      <c r="CT178" s="28"/>
      <c r="CU178" s="28"/>
      <c r="CV178" s="28"/>
      <c r="CW178" s="28"/>
      <c r="CX178" s="28"/>
      <c r="CY178" s="28"/>
      <c r="CZ178" s="28"/>
      <c r="DA178" s="28"/>
      <c r="DB178" s="28"/>
      <c r="DC178" s="28"/>
      <c r="DD178" s="28"/>
      <c r="DF178" s="55"/>
      <c r="DX178" s="28"/>
    </row>
    <row r="179" spans="1:128" s="19" customFormat="1" ht="16" customHeight="1">
      <c r="A179" s="18"/>
      <c r="B179" s="17"/>
      <c r="C179" s="16"/>
      <c r="D179" s="16"/>
      <c r="E179" s="16"/>
      <c r="F179" s="16"/>
      <c r="G179" s="16"/>
      <c r="H179" s="20"/>
      <c r="I179" s="20"/>
      <c r="J179" s="20"/>
      <c r="K179" s="20"/>
      <c r="L179" s="20"/>
      <c r="M179" s="20"/>
      <c r="N179" s="20"/>
      <c r="O179" s="20"/>
      <c r="P179" s="20"/>
      <c r="Q179" s="20"/>
      <c r="R179" s="20"/>
      <c r="S179" s="20"/>
      <c r="T179"/>
      <c r="U179"/>
      <c r="V179"/>
      <c r="W179"/>
      <c r="X179"/>
      <c r="Y179"/>
      <c r="Z179" s="16"/>
      <c r="AA179" s="16"/>
      <c r="AB179" s="55"/>
      <c r="AC179"/>
      <c r="AD179"/>
      <c r="AE179"/>
      <c r="AF179"/>
      <c r="AG179"/>
      <c r="AH179"/>
      <c r="AI179"/>
      <c r="AJ179"/>
      <c r="AK179"/>
      <c r="AL179"/>
      <c r="AM179"/>
      <c r="AN179"/>
      <c r="AO179"/>
      <c r="AP179"/>
      <c r="AQ179"/>
      <c r="AS179" s="55"/>
      <c r="AT179"/>
      <c r="AU179" s="41"/>
      <c r="AV179" s="16"/>
      <c r="AW179" s="16"/>
      <c r="AX179" s="16"/>
      <c r="AY179" s="16"/>
      <c r="AZ179" s="16"/>
      <c r="BA179" s="16"/>
      <c r="BB179" s="16"/>
      <c r="BC179" s="16"/>
      <c r="BD179" s="16"/>
      <c r="BE179" s="16"/>
      <c r="BF179" s="16"/>
      <c r="BG179" s="16"/>
      <c r="BH179" s="16"/>
      <c r="BI179"/>
      <c r="BJ179"/>
      <c r="BK179"/>
      <c r="BL179"/>
      <c r="BM179"/>
      <c r="BN179"/>
      <c r="BO179"/>
      <c r="BP179"/>
      <c r="BQ179" s="55"/>
      <c r="BR179"/>
      <c r="BS179"/>
      <c r="BT179"/>
      <c r="BU179"/>
      <c r="BV179"/>
      <c r="BW179"/>
      <c r="BX179"/>
      <c r="BY179"/>
      <c r="BZ179"/>
      <c r="CA179"/>
      <c r="CB179"/>
      <c r="CC179"/>
      <c r="CD179"/>
      <c r="CE179"/>
      <c r="CF179"/>
      <c r="CH179" s="55"/>
      <c r="CI179"/>
      <c r="CJ179" s="16"/>
      <c r="CK179" s="16"/>
      <c r="CL179" s="28"/>
      <c r="CM179" s="28"/>
      <c r="CN179" s="28"/>
      <c r="CO179" s="28"/>
      <c r="CP179" s="28"/>
      <c r="CQ179" s="28"/>
      <c r="CR179" s="28"/>
      <c r="CS179" s="28"/>
      <c r="CT179" s="28"/>
      <c r="CU179" s="28"/>
      <c r="CV179" s="28"/>
      <c r="CW179" s="28"/>
      <c r="CX179" s="28"/>
      <c r="CY179" s="28"/>
      <c r="CZ179" s="28"/>
      <c r="DA179" s="28"/>
      <c r="DB179" s="28"/>
      <c r="DC179" s="28"/>
      <c r="DD179" s="28"/>
      <c r="DF179" s="55"/>
      <c r="DX179" s="28"/>
    </row>
    <row r="180" spans="1:128" s="19" customFormat="1" ht="16" customHeight="1">
      <c r="A180" s="18"/>
      <c r="B180" s="17"/>
      <c r="C180" s="16"/>
      <c r="D180" s="16"/>
      <c r="E180" s="16"/>
      <c r="F180" s="16"/>
      <c r="G180" s="16"/>
      <c r="H180" s="20"/>
      <c r="I180" s="20"/>
      <c r="J180" s="20"/>
      <c r="K180" s="20"/>
      <c r="L180" s="20"/>
      <c r="M180" s="20"/>
      <c r="N180" s="20"/>
      <c r="O180" s="20"/>
      <c r="P180" s="20"/>
      <c r="Q180" s="20"/>
      <c r="R180" s="20"/>
      <c r="S180" s="20"/>
      <c r="T180"/>
      <c r="U180"/>
      <c r="V180"/>
      <c r="W180"/>
      <c r="X180"/>
      <c r="Y180"/>
      <c r="Z180" s="16"/>
      <c r="AA180" s="16"/>
      <c r="AB180" s="55"/>
      <c r="AC180"/>
      <c r="AD180"/>
      <c r="AE180"/>
      <c r="AF180"/>
      <c r="AG180"/>
      <c r="AH180"/>
      <c r="AI180"/>
      <c r="AJ180"/>
      <c r="AK180"/>
      <c r="AL180"/>
      <c r="AM180"/>
      <c r="AN180"/>
      <c r="AO180"/>
      <c r="AP180"/>
      <c r="AQ180"/>
      <c r="AS180" s="55"/>
      <c r="AT180"/>
      <c r="AU180" s="41"/>
      <c r="AV180" s="16"/>
      <c r="AW180" s="16"/>
      <c r="AX180" s="16"/>
      <c r="AY180" s="16"/>
      <c r="AZ180" s="16"/>
      <c r="BA180" s="16"/>
      <c r="BB180" s="16"/>
      <c r="BC180" s="16"/>
      <c r="BD180" s="16"/>
      <c r="BE180" s="16"/>
      <c r="BF180" s="16"/>
      <c r="BG180" s="16"/>
      <c r="BH180" s="16"/>
      <c r="BI180"/>
      <c r="BJ180"/>
      <c r="BK180"/>
      <c r="BL180"/>
      <c r="BM180"/>
      <c r="BN180"/>
      <c r="BO180"/>
      <c r="BP180"/>
      <c r="BQ180" s="55"/>
      <c r="BR180"/>
      <c r="BS180"/>
      <c r="BT180"/>
      <c r="BU180"/>
      <c r="BV180"/>
      <c r="BW180"/>
      <c r="BX180"/>
      <c r="BY180"/>
      <c r="BZ180"/>
      <c r="CA180"/>
      <c r="CB180"/>
      <c r="CC180"/>
      <c r="CD180"/>
      <c r="CE180"/>
      <c r="CF180"/>
      <c r="CH180" s="55"/>
      <c r="CI180"/>
      <c r="CJ180" s="16"/>
      <c r="CK180" s="16"/>
      <c r="CL180" s="28"/>
      <c r="CM180" s="28"/>
      <c r="CN180" s="28"/>
      <c r="CO180" s="28"/>
      <c r="CP180" s="28"/>
      <c r="CQ180" s="28"/>
      <c r="CR180" s="28"/>
      <c r="CS180" s="28"/>
      <c r="CT180" s="28"/>
      <c r="CU180" s="28"/>
      <c r="CV180" s="28"/>
      <c r="CW180" s="28"/>
      <c r="CX180" s="28"/>
      <c r="CY180" s="28"/>
      <c r="CZ180" s="28"/>
      <c r="DA180" s="28"/>
      <c r="DB180" s="28"/>
      <c r="DC180" s="28"/>
      <c r="DD180" s="28"/>
      <c r="DF180" s="55"/>
      <c r="DX180" s="28"/>
    </row>
    <row r="181" spans="1:128" s="19" customFormat="1" ht="16" customHeight="1">
      <c r="A181" s="18"/>
      <c r="B181" s="17"/>
      <c r="C181" s="16"/>
      <c r="D181" s="16"/>
      <c r="E181" s="16"/>
      <c r="F181" s="16"/>
      <c r="G181" s="16"/>
      <c r="H181" s="20"/>
      <c r="I181" s="20"/>
      <c r="J181" s="20"/>
      <c r="K181" s="20"/>
      <c r="L181" s="20"/>
      <c r="M181" s="20"/>
      <c r="N181" s="20"/>
      <c r="O181" s="20"/>
      <c r="P181" s="20"/>
      <c r="Q181" s="20"/>
      <c r="R181" s="20"/>
      <c r="S181" s="20"/>
      <c r="T181"/>
      <c r="U181"/>
      <c r="V181"/>
      <c r="W181"/>
      <c r="X181"/>
      <c r="Y181"/>
      <c r="Z181" s="16"/>
      <c r="AA181" s="16"/>
      <c r="AB181" s="55"/>
      <c r="AC181"/>
      <c r="AD181"/>
      <c r="AE181"/>
      <c r="AF181"/>
      <c r="AG181"/>
      <c r="AH181"/>
      <c r="AI181"/>
      <c r="AJ181"/>
      <c r="AK181"/>
      <c r="AL181"/>
      <c r="AM181"/>
      <c r="AN181"/>
      <c r="AO181"/>
      <c r="AP181"/>
      <c r="AQ181"/>
      <c r="AS181" s="55"/>
      <c r="AT181"/>
      <c r="AU181" s="41"/>
      <c r="AV181" s="16"/>
      <c r="AW181" s="16"/>
      <c r="AX181" s="16"/>
      <c r="AY181" s="16"/>
      <c r="AZ181" s="16"/>
      <c r="BA181" s="16"/>
      <c r="BB181" s="16"/>
      <c r="BC181" s="16"/>
      <c r="BD181" s="16"/>
      <c r="BE181" s="16"/>
      <c r="BF181" s="16"/>
      <c r="BG181" s="16"/>
      <c r="BH181" s="16"/>
      <c r="BI181"/>
      <c r="BJ181"/>
      <c r="BK181"/>
      <c r="BL181"/>
      <c r="BM181"/>
      <c r="BN181"/>
      <c r="BO181"/>
      <c r="BP181"/>
      <c r="BQ181" s="55"/>
      <c r="BR181"/>
      <c r="BS181"/>
      <c r="BT181"/>
      <c r="BU181"/>
      <c r="BV181"/>
      <c r="BW181"/>
      <c r="BX181"/>
      <c r="BY181"/>
      <c r="BZ181"/>
      <c r="CA181"/>
      <c r="CB181"/>
      <c r="CC181"/>
      <c r="CD181"/>
      <c r="CE181"/>
      <c r="CF181"/>
      <c r="CH181" s="55"/>
      <c r="CI181"/>
      <c r="CJ181" s="16"/>
      <c r="CK181" s="16"/>
      <c r="CL181" s="28"/>
      <c r="CM181" s="28"/>
      <c r="CN181" s="28"/>
      <c r="CO181" s="28"/>
      <c r="CP181" s="28"/>
      <c r="CQ181" s="28"/>
      <c r="CR181" s="28"/>
      <c r="CS181" s="28"/>
      <c r="CT181" s="28"/>
      <c r="CU181" s="28"/>
      <c r="CV181" s="28"/>
      <c r="CW181" s="28"/>
      <c r="CX181" s="28"/>
      <c r="CY181" s="28"/>
      <c r="CZ181" s="28"/>
      <c r="DA181" s="28"/>
      <c r="DB181" s="28"/>
      <c r="DC181" s="28"/>
      <c r="DD181" s="28"/>
      <c r="DF181" s="55"/>
      <c r="DX181" s="28"/>
    </row>
    <row r="182" spans="1:128" s="19" customFormat="1" ht="16" customHeight="1">
      <c r="A182" s="18"/>
      <c r="B182" s="17"/>
      <c r="C182" s="16"/>
      <c r="D182" s="16"/>
      <c r="E182" s="16"/>
      <c r="F182" s="16"/>
      <c r="G182" s="16"/>
      <c r="H182" s="20"/>
      <c r="I182" s="20"/>
      <c r="J182" s="20"/>
      <c r="K182" s="20"/>
      <c r="L182" s="20"/>
      <c r="M182" s="20"/>
      <c r="N182" s="20"/>
      <c r="O182" s="20"/>
      <c r="P182" s="20"/>
      <c r="Q182" s="20"/>
      <c r="R182" s="20"/>
      <c r="S182" s="20"/>
      <c r="T182"/>
      <c r="U182"/>
      <c r="V182"/>
      <c r="W182"/>
      <c r="X182"/>
      <c r="Y182"/>
      <c r="Z182" s="16"/>
      <c r="AA182" s="16"/>
      <c r="AB182" s="55"/>
      <c r="AC182"/>
      <c r="AD182"/>
      <c r="AE182"/>
      <c r="AF182"/>
      <c r="AG182"/>
      <c r="AH182"/>
      <c r="AI182"/>
      <c r="AJ182"/>
      <c r="AK182"/>
      <c r="AL182"/>
      <c r="AM182"/>
      <c r="AN182"/>
      <c r="AO182"/>
      <c r="AP182"/>
      <c r="AQ182"/>
      <c r="AS182" s="55"/>
      <c r="AT182"/>
      <c r="AU182" s="41"/>
      <c r="AV182" s="16"/>
      <c r="AW182" s="16"/>
      <c r="AX182" s="16"/>
      <c r="AY182" s="16"/>
      <c r="AZ182" s="16"/>
      <c r="BA182" s="16"/>
      <c r="BB182" s="16"/>
      <c r="BC182" s="16"/>
      <c r="BD182" s="16"/>
      <c r="BE182" s="16"/>
      <c r="BF182" s="16"/>
      <c r="BG182" s="16"/>
      <c r="BH182" s="16"/>
      <c r="BI182"/>
      <c r="BJ182"/>
      <c r="BK182"/>
      <c r="BL182"/>
      <c r="BM182"/>
      <c r="BN182"/>
      <c r="BO182"/>
      <c r="BP182"/>
      <c r="BQ182" s="55"/>
      <c r="BR182"/>
      <c r="BS182"/>
      <c r="BT182"/>
      <c r="BU182"/>
      <c r="BV182"/>
      <c r="BW182"/>
      <c r="BX182"/>
      <c r="BY182"/>
      <c r="BZ182"/>
      <c r="CA182"/>
      <c r="CB182"/>
      <c r="CC182"/>
      <c r="CD182"/>
      <c r="CE182"/>
      <c r="CF182"/>
      <c r="CH182" s="55"/>
      <c r="CI182"/>
      <c r="CJ182" s="16"/>
      <c r="CK182" s="16"/>
      <c r="CL182" s="28"/>
      <c r="CM182" s="28"/>
      <c r="CN182" s="28"/>
      <c r="CO182" s="28"/>
      <c r="CP182" s="28"/>
      <c r="CQ182" s="28"/>
      <c r="CR182" s="28"/>
      <c r="CS182" s="28"/>
      <c r="CT182" s="28"/>
      <c r="CU182" s="28"/>
      <c r="CV182" s="28"/>
      <c r="CW182" s="28"/>
      <c r="CX182" s="28"/>
      <c r="CY182" s="28"/>
      <c r="CZ182" s="28"/>
      <c r="DA182" s="28"/>
      <c r="DB182" s="28"/>
      <c r="DC182" s="28"/>
      <c r="DD182" s="28"/>
      <c r="DF182" s="55"/>
      <c r="DX182" s="28"/>
    </row>
    <row r="183" spans="1:128" s="19" customFormat="1" ht="16" customHeight="1">
      <c r="A183" s="18"/>
      <c r="B183" s="17"/>
      <c r="C183" s="16"/>
      <c r="D183" s="16"/>
      <c r="E183" s="16"/>
      <c r="F183" s="16"/>
      <c r="G183" s="16"/>
      <c r="H183" s="20"/>
      <c r="I183" s="20"/>
      <c r="J183" s="20"/>
      <c r="K183" s="20"/>
      <c r="L183" s="20"/>
      <c r="M183" s="20"/>
      <c r="N183" s="20"/>
      <c r="O183" s="20"/>
      <c r="P183" s="20"/>
      <c r="Q183" s="20"/>
      <c r="R183" s="20"/>
      <c r="S183" s="20"/>
      <c r="T183"/>
      <c r="U183"/>
      <c r="V183"/>
      <c r="W183"/>
      <c r="X183"/>
      <c r="Y183"/>
      <c r="Z183" s="16"/>
      <c r="AA183" s="16"/>
      <c r="AB183" s="55"/>
      <c r="AC183"/>
      <c r="AD183"/>
      <c r="AE183"/>
      <c r="AF183"/>
      <c r="AG183"/>
      <c r="AH183"/>
      <c r="AI183"/>
      <c r="AJ183"/>
      <c r="AK183"/>
      <c r="AL183"/>
      <c r="AM183"/>
      <c r="AN183"/>
      <c r="AO183"/>
      <c r="AP183"/>
      <c r="AQ183"/>
      <c r="AS183" s="55"/>
      <c r="AT183"/>
      <c r="AU183" s="41"/>
      <c r="AV183" s="16"/>
      <c r="AW183" s="16"/>
      <c r="AX183" s="16"/>
      <c r="AY183" s="16"/>
      <c r="AZ183" s="16"/>
      <c r="BA183" s="16"/>
      <c r="BB183" s="16"/>
      <c r="BC183" s="16"/>
      <c r="BD183" s="16"/>
      <c r="BE183" s="16"/>
      <c r="BF183" s="16"/>
      <c r="BG183" s="16"/>
      <c r="BH183" s="16"/>
      <c r="BI183"/>
      <c r="BJ183"/>
      <c r="BK183"/>
      <c r="BL183"/>
      <c r="BM183"/>
      <c r="BN183"/>
      <c r="BO183"/>
      <c r="BP183"/>
      <c r="BQ183" s="55"/>
      <c r="BR183"/>
      <c r="BS183"/>
      <c r="BT183"/>
      <c r="BU183"/>
      <c r="BV183"/>
      <c r="BW183"/>
      <c r="BX183"/>
      <c r="BY183"/>
      <c r="BZ183"/>
      <c r="CA183"/>
      <c r="CB183"/>
      <c r="CC183"/>
      <c r="CD183"/>
      <c r="CE183"/>
      <c r="CF183"/>
      <c r="CH183" s="55"/>
      <c r="CI183"/>
      <c r="CJ183" s="16"/>
      <c r="CK183" s="16"/>
      <c r="CL183" s="28"/>
      <c r="CM183" s="28"/>
      <c r="CN183" s="28"/>
      <c r="CO183" s="28"/>
      <c r="CP183" s="28"/>
      <c r="CQ183" s="28"/>
      <c r="CR183" s="28"/>
      <c r="CS183" s="28"/>
      <c r="CT183" s="28"/>
      <c r="CU183" s="28"/>
      <c r="CV183" s="28"/>
      <c r="CW183" s="28"/>
      <c r="CX183" s="28"/>
      <c r="CY183" s="28"/>
      <c r="CZ183" s="28"/>
      <c r="DA183" s="28"/>
      <c r="DB183" s="28"/>
      <c r="DC183" s="28"/>
      <c r="DD183" s="28"/>
      <c r="DF183" s="55"/>
      <c r="DX183" s="28"/>
    </row>
    <row r="184" spans="1:128" s="19" customFormat="1" ht="16" customHeight="1">
      <c r="A184" s="18"/>
      <c r="B184" s="17"/>
      <c r="C184" s="16"/>
      <c r="D184" s="16"/>
      <c r="E184" s="16"/>
      <c r="F184" s="16"/>
      <c r="G184" s="16"/>
      <c r="H184" s="20"/>
      <c r="I184" s="20"/>
      <c r="J184" s="20"/>
      <c r="K184" s="20"/>
      <c r="L184" s="20"/>
      <c r="M184" s="20"/>
      <c r="N184" s="20"/>
      <c r="O184" s="20"/>
      <c r="P184" s="20"/>
      <c r="Q184" s="20"/>
      <c r="R184" s="20"/>
      <c r="S184" s="20"/>
      <c r="T184"/>
      <c r="U184"/>
      <c r="V184"/>
      <c r="W184"/>
      <c r="X184"/>
      <c r="Y184"/>
      <c r="Z184" s="16"/>
      <c r="AA184" s="16"/>
      <c r="AB184" s="55"/>
      <c r="AC184"/>
      <c r="AD184"/>
      <c r="AE184"/>
      <c r="AF184"/>
      <c r="AG184"/>
      <c r="AH184"/>
      <c r="AI184"/>
      <c r="AJ184"/>
      <c r="AK184"/>
      <c r="AL184"/>
      <c r="AM184"/>
      <c r="AN184"/>
      <c r="AO184"/>
      <c r="AP184"/>
      <c r="AQ184"/>
      <c r="AS184" s="55"/>
      <c r="AT184"/>
      <c r="AU184" s="41"/>
      <c r="AV184" s="16"/>
      <c r="AW184" s="16"/>
      <c r="AX184" s="16"/>
      <c r="AY184" s="16"/>
      <c r="AZ184" s="16"/>
      <c r="BA184" s="16"/>
      <c r="BB184" s="16"/>
      <c r="BC184" s="16"/>
      <c r="BD184" s="16"/>
      <c r="BE184" s="16"/>
      <c r="BF184" s="16"/>
      <c r="BG184" s="16"/>
      <c r="BH184" s="16"/>
      <c r="BI184"/>
      <c r="BJ184"/>
      <c r="BK184"/>
      <c r="BL184"/>
      <c r="BM184"/>
      <c r="BN184"/>
      <c r="BO184"/>
      <c r="BP184"/>
      <c r="BQ184" s="55"/>
      <c r="BR184"/>
      <c r="BS184"/>
      <c r="BT184"/>
      <c r="BU184"/>
      <c r="BV184"/>
      <c r="BW184"/>
      <c r="BX184"/>
      <c r="BY184"/>
      <c r="BZ184"/>
      <c r="CA184"/>
      <c r="CB184"/>
      <c r="CC184"/>
      <c r="CD184"/>
      <c r="CE184"/>
      <c r="CF184"/>
      <c r="CH184" s="55"/>
      <c r="CI184"/>
      <c r="CJ184" s="16"/>
      <c r="CK184" s="16"/>
      <c r="CL184" s="28"/>
      <c r="CM184" s="28"/>
      <c r="CN184" s="28"/>
      <c r="CO184" s="28"/>
      <c r="CP184" s="28"/>
      <c r="CQ184" s="28"/>
      <c r="CR184" s="28"/>
      <c r="CS184" s="28"/>
      <c r="CT184" s="28"/>
      <c r="CU184" s="28"/>
      <c r="CV184" s="28"/>
      <c r="CW184" s="28"/>
      <c r="CX184" s="28"/>
      <c r="CY184" s="28"/>
      <c r="CZ184" s="28"/>
      <c r="DA184" s="28"/>
      <c r="DB184" s="28"/>
      <c r="DC184" s="28"/>
      <c r="DD184" s="28"/>
      <c r="DF184" s="55"/>
      <c r="DX184" s="28"/>
    </row>
    <row r="185" spans="1:128" s="19" customFormat="1" ht="16" customHeight="1">
      <c r="A185" s="18"/>
      <c r="B185" s="17"/>
      <c r="C185" s="16"/>
      <c r="D185" s="16"/>
      <c r="E185" s="16"/>
      <c r="F185" s="16"/>
      <c r="G185" s="16"/>
      <c r="H185" s="20"/>
      <c r="I185" s="20"/>
      <c r="J185" s="20"/>
      <c r="K185" s="20"/>
      <c r="L185" s="20"/>
      <c r="M185" s="20"/>
      <c r="N185" s="20"/>
      <c r="O185" s="20"/>
      <c r="P185" s="20"/>
      <c r="Q185" s="20"/>
      <c r="R185" s="20"/>
      <c r="S185" s="20"/>
      <c r="T185"/>
      <c r="U185"/>
      <c r="V185"/>
      <c r="W185"/>
      <c r="X185"/>
      <c r="Y185"/>
      <c r="Z185" s="16"/>
      <c r="AA185" s="16"/>
      <c r="AB185" s="55"/>
      <c r="AC185"/>
      <c r="AD185"/>
      <c r="AE185"/>
      <c r="AF185"/>
      <c r="AG185"/>
      <c r="AH185"/>
      <c r="AI185"/>
      <c r="AJ185"/>
      <c r="AK185"/>
      <c r="AL185"/>
      <c r="AM185"/>
      <c r="AN185"/>
      <c r="AO185"/>
      <c r="AP185"/>
      <c r="AQ185"/>
      <c r="AS185" s="55"/>
      <c r="AT185"/>
      <c r="AU185" s="41"/>
      <c r="AV185" s="16"/>
      <c r="AW185" s="16"/>
      <c r="AX185" s="16"/>
      <c r="AY185" s="16"/>
      <c r="AZ185" s="16"/>
      <c r="BA185" s="16"/>
      <c r="BB185" s="16"/>
      <c r="BC185" s="16"/>
      <c r="BD185" s="16"/>
      <c r="BE185" s="16"/>
      <c r="BF185" s="16"/>
      <c r="BG185" s="16"/>
      <c r="BH185" s="16"/>
      <c r="BI185"/>
      <c r="BJ185"/>
      <c r="BK185"/>
      <c r="BL185"/>
      <c r="BM185"/>
      <c r="BN185"/>
      <c r="BO185"/>
      <c r="BP185"/>
      <c r="BQ185" s="55"/>
      <c r="BR185"/>
      <c r="BS185"/>
      <c r="BT185"/>
      <c r="BU185"/>
      <c r="BV185"/>
      <c r="BW185"/>
      <c r="BX185"/>
      <c r="BY185"/>
      <c r="BZ185"/>
      <c r="CA185"/>
      <c r="CB185"/>
      <c r="CC185"/>
      <c r="CD185"/>
      <c r="CE185"/>
      <c r="CF185"/>
      <c r="CH185" s="55"/>
      <c r="CI185"/>
      <c r="CJ185" s="16"/>
      <c r="CK185" s="16"/>
      <c r="CL185" s="28"/>
      <c r="CM185" s="28"/>
      <c r="CN185" s="28"/>
      <c r="CO185" s="28"/>
      <c r="CP185" s="28"/>
      <c r="CQ185" s="28"/>
      <c r="CR185" s="28"/>
      <c r="CS185" s="28"/>
      <c r="CT185" s="28"/>
      <c r="CU185" s="28"/>
      <c r="CV185" s="28"/>
      <c r="CW185" s="28"/>
      <c r="CX185" s="28"/>
      <c r="CY185" s="28"/>
      <c r="CZ185" s="28"/>
      <c r="DA185" s="28"/>
      <c r="DB185" s="28"/>
      <c r="DC185" s="28"/>
      <c r="DD185" s="28"/>
      <c r="DF185" s="55"/>
      <c r="DX185" s="28"/>
    </row>
    <row r="186" spans="1:128" s="19" customFormat="1" ht="16" customHeight="1">
      <c r="A186" s="18"/>
      <c r="B186" s="17"/>
      <c r="C186" s="16"/>
      <c r="D186" s="16"/>
      <c r="E186" s="16"/>
      <c r="F186" s="16"/>
      <c r="G186" s="16"/>
      <c r="H186" s="20"/>
      <c r="I186" s="20"/>
      <c r="J186" s="20"/>
      <c r="K186" s="20"/>
      <c r="L186" s="20"/>
      <c r="M186" s="20"/>
      <c r="N186" s="20"/>
      <c r="O186" s="20"/>
      <c r="P186" s="20"/>
      <c r="Q186" s="20"/>
      <c r="R186" s="20"/>
      <c r="S186" s="20"/>
      <c r="T186"/>
      <c r="U186"/>
      <c r="V186"/>
      <c r="W186"/>
      <c r="X186"/>
      <c r="Y186"/>
      <c r="Z186" s="16"/>
      <c r="AA186" s="16"/>
      <c r="AB186" s="55"/>
      <c r="AC186"/>
      <c r="AD186"/>
      <c r="AE186"/>
      <c r="AF186"/>
      <c r="AG186"/>
      <c r="AH186"/>
      <c r="AI186"/>
      <c r="AJ186"/>
      <c r="AK186"/>
      <c r="AL186"/>
      <c r="AM186"/>
      <c r="AN186"/>
      <c r="AO186"/>
      <c r="AP186"/>
      <c r="AQ186"/>
      <c r="AS186" s="55"/>
      <c r="AT186"/>
      <c r="AU186" s="41"/>
      <c r="AV186" s="16"/>
      <c r="AW186" s="16"/>
      <c r="AX186" s="16"/>
      <c r="AY186" s="16"/>
      <c r="AZ186" s="16"/>
      <c r="BA186" s="16"/>
      <c r="BB186" s="16"/>
      <c r="BC186" s="16"/>
      <c r="BD186" s="16"/>
      <c r="BE186" s="16"/>
      <c r="BF186" s="16"/>
      <c r="BG186" s="16"/>
      <c r="BH186" s="16"/>
      <c r="BI186"/>
      <c r="BJ186"/>
      <c r="BK186"/>
      <c r="BL186"/>
      <c r="BM186"/>
      <c r="BN186"/>
      <c r="BO186"/>
      <c r="BP186"/>
      <c r="BQ186" s="55"/>
      <c r="BR186"/>
      <c r="BS186"/>
      <c r="BT186"/>
      <c r="BU186"/>
      <c r="BV186"/>
      <c r="BW186"/>
      <c r="BX186"/>
      <c r="BY186"/>
      <c r="BZ186"/>
      <c r="CA186"/>
      <c r="CB186"/>
      <c r="CC186"/>
      <c r="CD186"/>
      <c r="CE186"/>
      <c r="CF186"/>
      <c r="CH186" s="55"/>
      <c r="CI186"/>
      <c r="CJ186" s="16"/>
      <c r="CK186" s="16"/>
      <c r="CL186" s="28"/>
      <c r="CM186" s="28"/>
      <c r="CN186" s="28"/>
      <c r="CO186" s="28"/>
      <c r="CP186" s="28"/>
      <c r="CQ186" s="28"/>
      <c r="CR186" s="28"/>
      <c r="CS186" s="28"/>
      <c r="CT186" s="28"/>
      <c r="CU186" s="28"/>
      <c r="CV186" s="28"/>
      <c r="CW186" s="28"/>
      <c r="CX186" s="28"/>
      <c r="CY186" s="28"/>
      <c r="CZ186" s="28"/>
      <c r="DA186" s="28"/>
      <c r="DB186" s="28"/>
      <c r="DC186" s="28"/>
      <c r="DD186" s="28"/>
      <c r="DF186" s="55"/>
      <c r="DX186" s="28"/>
    </row>
    <row r="187" spans="1:128" s="19" customFormat="1" ht="16" customHeight="1">
      <c r="A187" s="18"/>
      <c r="B187" s="17"/>
      <c r="C187" s="16"/>
      <c r="D187" s="16"/>
      <c r="E187" s="16"/>
      <c r="F187" s="16"/>
      <c r="G187" s="16"/>
      <c r="H187" s="20"/>
      <c r="I187" s="20"/>
      <c r="J187" s="20"/>
      <c r="K187" s="20"/>
      <c r="L187" s="20"/>
      <c r="M187" s="20"/>
      <c r="N187" s="20"/>
      <c r="O187" s="20"/>
      <c r="P187" s="20"/>
      <c r="Q187" s="20"/>
      <c r="R187" s="20"/>
      <c r="S187" s="20"/>
      <c r="T187"/>
      <c r="U187"/>
      <c r="V187"/>
      <c r="W187"/>
      <c r="X187"/>
      <c r="Y187"/>
      <c r="Z187" s="16"/>
      <c r="AA187" s="16"/>
      <c r="AB187" s="55"/>
      <c r="AC187"/>
      <c r="AD187"/>
      <c r="AE187"/>
      <c r="AF187"/>
      <c r="AG187"/>
      <c r="AH187"/>
      <c r="AI187"/>
      <c r="AJ187"/>
      <c r="AK187"/>
      <c r="AL187"/>
      <c r="AM187"/>
      <c r="AN187"/>
      <c r="AO187"/>
      <c r="AP187"/>
      <c r="AQ187"/>
      <c r="AS187" s="55"/>
      <c r="AT187"/>
      <c r="AU187" s="41"/>
      <c r="AV187" s="16"/>
      <c r="AW187" s="16"/>
      <c r="AX187" s="16"/>
      <c r="AY187" s="16"/>
      <c r="AZ187" s="16"/>
      <c r="BA187" s="16"/>
      <c r="BB187" s="16"/>
      <c r="BC187" s="16"/>
      <c r="BD187" s="16"/>
      <c r="BE187" s="16"/>
      <c r="BF187" s="16"/>
      <c r="BG187" s="16"/>
      <c r="BH187" s="16"/>
      <c r="BI187"/>
      <c r="BJ187"/>
      <c r="BK187"/>
      <c r="BL187"/>
      <c r="BM187"/>
      <c r="BN187"/>
      <c r="BO187"/>
      <c r="BP187"/>
      <c r="BQ187" s="55"/>
      <c r="BR187"/>
      <c r="BS187"/>
      <c r="BT187"/>
      <c r="BU187"/>
      <c r="BV187"/>
      <c r="BW187"/>
      <c r="BX187"/>
      <c r="BY187"/>
      <c r="BZ187"/>
      <c r="CA187"/>
      <c r="CB187"/>
      <c r="CC187"/>
      <c r="CD187"/>
      <c r="CE187"/>
      <c r="CF187"/>
      <c r="CH187" s="55"/>
      <c r="CI187"/>
      <c r="CJ187" s="16"/>
      <c r="CK187" s="16"/>
      <c r="CL187" s="28"/>
      <c r="CM187" s="28"/>
      <c r="CN187" s="28"/>
      <c r="CO187" s="28"/>
      <c r="CP187" s="28"/>
      <c r="CQ187" s="28"/>
      <c r="CR187" s="28"/>
      <c r="CS187" s="28"/>
      <c r="CT187" s="28"/>
      <c r="CU187" s="28"/>
      <c r="CV187" s="28"/>
      <c r="CW187" s="28"/>
      <c r="CX187" s="28"/>
      <c r="CY187" s="28"/>
      <c r="CZ187" s="28"/>
      <c r="DA187" s="28"/>
      <c r="DB187" s="28"/>
      <c r="DC187" s="28"/>
      <c r="DD187" s="28"/>
      <c r="DF187" s="55"/>
      <c r="DX187" s="28"/>
    </row>
    <row r="188" spans="1:128" s="19" customFormat="1" ht="16" customHeight="1">
      <c r="A188" s="18"/>
      <c r="B188" s="17"/>
      <c r="C188" s="16"/>
      <c r="D188" s="16"/>
      <c r="E188" s="16"/>
      <c r="F188" s="16"/>
      <c r="G188" s="16"/>
      <c r="H188" s="20"/>
      <c r="I188" s="20"/>
      <c r="J188" s="20"/>
      <c r="K188" s="20"/>
      <c r="L188" s="20"/>
      <c r="M188" s="20"/>
      <c r="N188" s="20"/>
      <c r="O188" s="20"/>
      <c r="P188" s="20"/>
      <c r="Q188" s="20"/>
      <c r="R188" s="20"/>
      <c r="S188" s="20"/>
      <c r="T188"/>
      <c r="U188"/>
      <c r="V188"/>
      <c r="W188"/>
      <c r="X188"/>
      <c r="Y188"/>
      <c r="Z188" s="16"/>
      <c r="AA188" s="16"/>
      <c r="AB188" s="55"/>
      <c r="AC188"/>
      <c r="AD188"/>
      <c r="AE188"/>
      <c r="AF188"/>
      <c r="AG188"/>
      <c r="AH188"/>
      <c r="AI188"/>
      <c r="AJ188"/>
      <c r="AK188"/>
      <c r="AL188"/>
      <c r="AM188"/>
      <c r="AN188"/>
      <c r="AO188"/>
      <c r="AP188"/>
      <c r="AQ188"/>
      <c r="AS188" s="55"/>
      <c r="AT188"/>
      <c r="AU188" s="41"/>
      <c r="AV188" s="16"/>
      <c r="AW188" s="16"/>
      <c r="AX188" s="16"/>
      <c r="AY188" s="16"/>
      <c r="AZ188" s="16"/>
      <c r="BA188" s="16"/>
      <c r="BB188" s="16"/>
      <c r="BC188" s="16"/>
      <c r="BD188" s="16"/>
      <c r="BE188" s="16"/>
      <c r="BF188" s="16"/>
      <c r="BG188" s="16"/>
      <c r="BH188" s="16"/>
      <c r="BI188"/>
      <c r="BJ188"/>
      <c r="BK188"/>
      <c r="BL188"/>
      <c r="BM188"/>
      <c r="BN188"/>
      <c r="BO188"/>
      <c r="BP188"/>
      <c r="BQ188" s="55"/>
      <c r="BR188"/>
      <c r="BS188"/>
      <c r="BT188"/>
      <c r="BU188"/>
      <c r="BV188"/>
      <c r="BW188"/>
      <c r="BX188"/>
      <c r="BY188"/>
      <c r="BZ188"/>
      <c r="CA188"/>
      <c r="CB188"/>
      <c r="CC188"/>
      <c r="CD188"/>
      <c r="CE188"/>
      <c r="CF188"/>
      <c r="CH188" s="55"/>
      <c r="CI188"/>
      <c r="CJ188" s="16"/>
      <c r="CK188" s="16"/>
      <c r="CL188" s="28"/>
      <c r="CM188" s="28"/>
      <c r="CN188" s="28"/>
      <c r="CO188" s="28"/>
      <c r="CP188" s="28"/>
      <c r="CQ188" s="28"/>
      <c r="CR188" s="28"/>
      <c r="CS188" s="28"/>
      <c r="CT188" s="28"/>
      <c r="CU188" s="28"/>
      <c r="CV188" s="28"/>
      <c r="CW188" s="28"/>
      <c r="CX188" s="28"/>
      <c r="CY188" s="28"/>
      <c r="CZ188" s="28"/>
      <c r="DA188" s="28"/>
      <c r="DB188" s="28"/>
      <c r="DC188" s="28"/>
      <c r="DD188" s="28"/>
      <c r="DF188" s="55"/>
      <c r="DX188" s="28"/>
    </row>
    <row r="189" spans="1:128" s="19" customFormat="1" ht="16" customHeight="1">
      <c r="A189" s="18"/>
      <c r="B189" s="17"/>
      <c r="C189" s="16"/>
      <c r="D189" s="16"/>
      <c r="E189" s="16"/>
      <c r="F189" s="16"/>
      <c r="G189" s="16"/>
      <c r="H189" s="20"/>
      <c r="I189" s="20"/>
      <c r="J189" s="20"/>
      <c r="K189" s="20"/>
      <c r="L189" s="20"/>
      <c r="M189" s="20"/>
      <c r="N189" s="20"/>
      <c r="O189" s="20"/>
      <c r="P189" s="20"/>
      <c r="Q189" s="20"/>
      <c r="R189" s="20"/>
      <c r="S189" s="20"/>
      <c r="T189"/>
      <c r="U189"/>
      <c r="V189"/>
      <c r="W189"/>
      <c r="X189"/>
      <c r="Y189"/>
      <c r="Z189" s="16"/>
      <c r="AA189" s="16"/>
      <c r="AB189" s="55"/>
      <c r="AC189"/>
      <c r="AD189"/>
      <c r="AE189"/>
      <c r="AF189"/>
      <c r="AG189"/>
      <c r="AH189"/>
      <c r="AI189"/>
      <c r="AJ189"/>
      <c r="AK189"/>
      <c r="AL189"/>
      <c r="AM189"/>
      <c r="AN189"/>
      <c r="AO189"/>
      <c r="AP189"/>
      <c r="AQ189"/>
      <c r="AS189" s="55"/>
      <c r="AT189"/>
      <c r="AU189" s="41"/>
      <c r="AV189" s="16"/>
      <c r="AW189" s="16"/>
      <c r="AX189" s="16"/>
      <c r="AY189" s="16"/>
      <c r="AZ189" s="16"/>
      <c r="BA189" s="16"/>
      <c r="BB189" s="16"/>
      <c r="BC189" s="16"/>
      <c r="BD189" s="16"/>
      <c r="BE189" s="16"/>
      <c r="BF189" s="16"/>
      <c r="BG189" s="16"/>
      <c r="BH189" s="16"/>
      <c r="BI189"/>
      <c r="BJ189"/>
      <c r="BK189"/>
      <c r="BL189"/>
      <c r="BM189"/>
      <c r="BN189"/>
      <c r="BO189"/>
      <c r="BP189"/>
      <c r="BQ189" s="55"/>
      <c r="BR189"/>
      <c r="BS189"/>
      <c r="BT189"/>
      <c r="BU189"/>
      <c r="BV189"/>
      <c r="BW189"/>
      <c r="BX189"/>
      <c r="BY189"/>
      <c r="BZ189"/>
      <c r="CA189"/>
      <c r="CB189"/>
      <c r="CC189"/>
      <c r="CD189"/>
      <c r="CE189"/>
      <c r="CF189"/>
      <c r="CH189" s="55"/>
      <c r="CI189"/>
      <c r="CJ189" s="16"/>
      <c r="CK189" s="16"/>
      <c r="CL189" s="28"/>
      <c r="CM189" s="28"/>
      <c r="CN189" s="28"/>
      <c r="CO189" s="28"/>
      <c r="CP189" s="28"/>
      <c r="CQ189" s="28"/>
      <c r="CR189" s="28"/>
      <c r="CS189" s="28"/>
      <c r="CT189" s="28"/>
      <c r="CU189" s="28"/>
      <c r="CV189" s="28"/>
      <c r="CW189" s="28"/>
      <c r="CX189" s="28"/>
      <c r="CY189" s="28"/>
      <c r="CZ189" s="28"/>
      <c r="DA189" s="28"/>
      <c r="DB189" s="28"/>
      <c r="DC189" s="28"/>
      <c r="DD189" s="28"/>
      <c r="DF189" s="55"/>
      <c r="DX189" s="28"/>
    </row>
    <row r="190" spans="1:128" s="19" customFormat="1" ht="16" customHeight="1">
      <c r="A190" s="18"/>
      <c r="B190" s="17"/>
      <c r="C190" s="16"/>
      <c r="D190" s="16"/>
      <c r="E190" s="16"/>
      <c r="F190" s="16"/>
      <c r="G190" s="16"/>
      <c r="H190" s="20"/>
      <c r="I190" s="20"/>
      <c r="J190" s="20"/>
      <c r="K190" s="20"/>
      <c r="L190" s="20"/>
      <c r="M190" s="20"/>
      <c r="N190" s="20"/>
      <c r="O190" s="20"/>
      <c r="P190" s="20"/>
      <c r="Q190" s="20"/>
      <c r="R190" s="20"/>
      <c r="S190" s="20"/>
      <c r="T190"/>
      <c r="U190"/>
      <c r="V190"/>
      <c r="W190"/>
      <c r="X190"/>
      <c r="Y190"/>
      <c r="Z190" s="16"/>
      <c r="AA190" s="16"/>
      <c r="AB190" s="55"/>
      <c r="AC190"/>
      <c r="AD190"/>
      <c r="AE190"/>
      <c r="AF190"/>
      <c r="AG190"/>
      <c r="AH190"/>
      <c r="AI190"/>
      <c r="AJ190"/>
      <c r="AK190"/>
      <c r="AL190"/>
      <c r="AM190"/>
      <c r="AN190"/>
      <c r="AO190"/>
      <c r="AP190"/>
      <c r="AQ190"/>
      <c r="AS190" s="55"/>
      <c r="AT190"/>
      <c r="AU190" s="41"/>
      <c r="AV190" s="16"/>
      <c r="AW190" s="16"/>
      <c r="AX190" s="16"/>
      <c r="AY190" s="16"/>
      <c r="AZ190" s="16"/>
      <c r="BA190" s="16"/>
      <c r="BB190" s="16"/>
      <c r="BC190" s="16"/>
      <c r="BD190" s="16"/>
      <c r="BE190" s="16"/>
      <c r="BF190" s="16"/>
      <c r="BG190" s="16"/>
      <c r="BH190" s="16"/>
      <c r="BI190"/>
      <c r="BJ190"/>
      <c r="BK190"/>
      <c r="BL190"/>
      <c r="BM190"/>
      <c r="BN190"/>
      <c r="BO190"/>
      <c r="BP190"/>
      <c r="BQ190" s="55"/>
      <c r="BR190"/>
      <c r="BS190"/>
      <c r="BT190"/>
      <c r="BU190"/>
      <c r="BV190"/>
      <c r="BW190"/>
      <c r="BX190"/>
      <c r="BY190"/>
      <c r="BZ190"/>
      <c r="CA190"/>
      <c r="CB190"/>
      <c r="CC190"/>
      <c r="CD190"/>
      <c r="CE190"/>
      <c r="CF190"/>
      <c r="CH190" s="55"/>
      <c r="CI190"/>
      <c r="CJ190" s="16"/>
      <c r="CK190" s="16"/>
      <c r="CL190" s="28"/>
      <c r="CM190" s="28"/>
      <c r="CN190" s="28"/>
      <c r="CO190" s="28"/>
      <c r="CP190" s="28"/>
      <c r="CQ190" s="28"/>
      <c r="CR190" s="28"/>
      <c r="CS190" s="28"/>
      <c r="CT190" s="28"/>
      <c r="CU190" s="28"/>
      <c r="CV190" s="28"/>
      <c r="CW190" s="28"/>
      <c r="CX190" s="28"/>
      <c r="CY190" s="28"/>
      <c r="CZ190" s="28"/>
      <c r="DA190" s="28"/>
      <c r="DB190" s="28"/>
      <c r="DC190" s="28"/>
      <c r="DD190" s="28"/>
      <c r="DF190" s="55"/>
      <c r="DX190" s="28"/>
    </row>
    <row r="191" spans="1:128" s="19" customFormat="1" ht="16" customHeight="1">
      <c r="A191" s="18"/>
      <c r="B191" s="17"/>
      <c r="C191" s="16"/>
      <c r="D191" s="16"/>
      <c r="E191" s="16"/>
      <c r="F191" s="16"/>
      <c r="G191" s="16"/>
      <c r="H191" s="20"/>
      <c r="I191" s="20"/>
      <c r="J191" s="20"/>
      <c r="K191" s="20"/>
      <c r="L191" s="20"/>
      <c r="M191" s="20"/>
      <c r="N191" s="20"/>
      <c r="O191" s="20"/>
      <c r="P191" s="20"/>
      <c r="Q191" s="20"/>
      <c r="R191" s="20"/>
      <c r="S191" s="20"/>
      <c r="T191"/>
      <c r="U191"/>
      <c r="V191"/>
      <c r="W191"/>
      <c r="X191"/>
      <c r="Y191"/>
      <c r="Z191" s="16"/>
      <c r="AA191" s="16"/>
      <c r="AB191" s="55"/>
      <c r="AC191"/>
      <c r="AD191"/>
      <c r="AE191"/>
      <c r="AF191"/>
      <c r="AG191"/>
      <c r="AH191"/>
      <c r="AI191"/>
      <c r="AJ191"/>
      <c r="AK191"/>
      <c r="AL191"/>
      <c r="AM191"/>
      <c r="AN191"/>
      <c r="AO191"/>
      <c r="AP191"/>
      <c r="AQ191"/>
      <c r="AS191" s="55"/>
      <c r="AT191"/>
      <c r="AU191" s="41"/>
      <c r="AV191" s="16"/>
      <c r="AW191" s="16"/>
      <c r="AX191" s="16"/>
      <c r="AY191" s="16"/>
      <c r="AZ191" s="16"/>
      <c r="BA191" s="16"/>
      <c r="BB191" s="16"/>
      <c r="BC191" s="16"/>
      <c r="BD191" s="16"/>
      <c r="BE191" s="16"/>
      <c r="BF191" s="16"/>
      <c r="BG191" s="16"/>
      <c r="BH191" s="16"/>
      <c r="BI191"/>
      <c r="BJ191"/>
      <c r="BK191"/>
      <c r="BL191"/>
      <c r="BM191"/>
      <c r="BN191"/>
      <c r="BO191"/>
      <c r="BP191"/>
      <c r="BQ191" s="55"/>
      <c r="BR191"/>
      <c r="BS191"/>
      <c r="BT191"/>
      <c r="BU191"/>
      <c r="BV191"/>
      <c r="BW191"/>
      <c r="BX191"/>
      <c r="BY191"/>
      <c r="BZ191"/>
      <c r="CA191"/>
      <c r="CB191"/>
      <c r="CC191"/>
      <c r="CD191"/>
      <c r="CE191"/>
      <c r="CF191"/>
      <c r="CH191" s="55"/>
      <c r="CI191"/>
      <c r="CJ191" s="16"/>
      <c r="CK191" s="16"/>
      <c r="CL191" s="28"/>
      <c r="CM191" s="28"/>
      <c r="CN191" s="28"/>
      <c r="CO191" s="28"/>
      <c r="CP191" s="28"/>
      <c r="CQ191" s="28"/>
      <c r="CR191" s="28"/>
      <c r="CS191" s="28"/>
      <c r="CT191" s="28"/>
      <c r="CU191" s="28"/>
      <c r="CV191" s="28"/>
      <c r="CW191" s="28"/>
      <c r="CX191" s="28"/>
      <c r="CY191" s="28"/>
      <c r="CZ191" s="28"/>
      <c r="DA191" s="28"/>
      <c r="DB191" s="28"/>
      <c r="DC191" s="28"/>
      <c r="DD191" s="28"/>
      <c r="DF191" s="55"/>
      <c r="DX191" s="28"/>
    </row>
    <row r="192" spans="1:128" s="19" customFormat="1" ht="16" customHeight="1">
      <c r="A192" s="18"/>
      <c r="B192" s="17"/>
      <c r="C192" s="16"/>
      <c r="D192" s="16"/>
      <c r="E192" s="16"/>
      <c r="F192" s="16"/>
      <c r="G192" s="16"/>
      <c r="H192" s="20"/>
      <c r="I192" s="20"/>
      <c r="J192" s="20"/>
      <c r="K192" s="20"/>
      <c r="L192" s="20"/>
      <c r="M192" s="20"/>
      <c r="N192" s="20"/>
      <c r="O192" s="20"/>
      <c r="P192" s="20"/>
      <c r="Q192" s="20"/>
      <c r="R192" s="20"/>
      <c r="S192" s="20"/>
      <c r="T192"/>
      <c r="U192"/>
      <c r="V192"/>
      <c r="W192"/>
      <c r="X192"/>
      <c r="Y192"/>
      <c r="Z192" s="16"/>
      <c r="AA192" s="16"/>
      <c r="AB192" s="55"/>
      <c r="AC192"/>
      <c r="AD192"/>
      <c r="AE192"/>
      <c r="AF192"/>
      <c r="AG192"/>
      <c r="AH192"/>
      <c r="AI192"/>
      <c r="AJ192"/>
      <c r="AK192"/>
      <c r="AL192"/>
      <c r="AM192"/>
      <c r="AN192"/>
      <c r="AO192"/>
      <c r="AP192"/>
      <c r="AQ192"/>
      <c r="AS192" s="55"/>
      <c r="AT192"/>
      <c r="AU192" s="41"/>
      <c r="AV192" s="16"/>
      <c r="AW192" s="16"/>
      <c r="AX192" s="16"/>
      <c r="AY192" s="16"/>
      <c r="AZ192" s="16"/>
      <c r="BA192" s="16"/>
      <c r="BB192" s="16"/>
      <c r="BC192" s="16"/>
      <c r="BD192" s="16"/>
      <c r="BE192" s="16"/>
      <c r="BF192" s="16"/>
      <c r="BG192" s="16"/>
      <c r="BH192" s="16"/>
      <c r="BI192"/>
      <c r="BJ192"/>
      <c r="BK192"/>
      <c r="BL192"/>
      <c r="BM192"/>
      <c r="BN192"/>
      <c r="BO192"/>
      <c r="BP192"/>
      <c r="BQ192" s="55"/>
      <c r="BR192"/>
      <c r="BS192"/>
      <c r="BT192"/>
      <c r="BU192"/>
      <c r="BV192"/>
      <c r="BW192"/>
      <c r="BX192"/>
      <c r="BY192"/>
      <c r="BZ192"/>
      <c r="CA192"/>
      <c r="CB192"/>
      <c r="CC192"/>
      <c r="CD192"/>
      <c r="CE192"/>
      <c r="CF192"/>
      <c r="CH192" s="55"/>
      <c r="CI192"/>
      <c r="CJ192" s="16"/>
      <c r="CK192" s="16"/>
      <c r="CL192" s="28"/>
      <c r="CM192" s="28"/>
      <c r="CN192" s="28"/>
      <c r="CO192" s="28"/>
      <c r="CP192" s="28"/>
      <c r="CQ192" s="28"/>
      <c r="CR192" s="28"/>
      <c r="CS192" s="28"/>
      <c r="CT192" s="28"/>
      <c r="CU192" s="28"/>
      <c r="CV192" s="28"/>
      <c r="CW192" s="28"/>
      <c r="CX192" s="28"/>
      <c r="CY192" s="28"/>
      <c r="CZ192" s="28"/>
      <c r="DA192" s="28"/>
      <c r="DB192" s="28"/>
      <c r="DC192" s="28"/>
      <c r="DD192" s="28"/>
      <c r="DF192" s="55"/>
      <c r="DX192" s="28"/>
    </row>
    <row r="193" spans="1:128" s="19" customFormat="1" ht="16" customHeight="1">
      <c r="A193" s="18"/>
      <c r="B193" s="17"/>
      <c r="C193" s="16"/>
      <c r="D193" s="16"/>
      <c r="E193" s="16"/>
      <c r="F193" s="16"/>
      <c r="G193" s="16"/>
      <c r="H193" s="20"/>
      <c r="I193" s="20"/>
      <c r="J193" s="20"/>
      <c r="K193" s="20"/>
      <c r="L193" s="20"/>
      <c r="M193" s="20"/>
      <c r="N193" s="20"/>
      <c r="O193" s="20"/>
      <c r="P193" s="20"/>
      <c r="Q193" s="20"/>
      <c r="R193" s="20"/>
      <c r="S193" s="20"/>
      <c r="T193"/>
      <c r="U193"/>
      <c r="V193"/>
      <c r="W193"/>
      <c r="X193"/>
      <c r="Y193"/>
      <c r="Z193" s="16"/>
      <c r="AA193" s="16"/>
      <c r="AB193" s="55"/>
      <c r="AC193"/>
      <c r="AD193"/>
      <c r="AE193"/>
      <c r="AF193"/>
      <c r="AG193"/>
      <c r="AH193"/>
      <c r="AI193"/>
      <c r="AJ193"/>
      <c r="AK193"/>
      <c r="AL193"/>
      <c r="AM193"/>
      <c r="AN193"/>
      <c r="AO193"/>
      <c r="AP193"/>
      <c r="AQ193"/>
      <c r="AS193" s="55"/>
      <c r="AT193"/>
      <c r="AU193" s="41"/>
      <c r="AV193" s="16"/>
      <c r="AW193" s="16"/>
      <c r="AX193" s="16"/>
      <c r="AY193" s="16"/>
      <c r="AZ193" s="16"/>
      <c r="BA193" s="16"/>
      <c r="BB193" s="16"/>
      <c r="BC193" s="16"/>
      <c r="BD193" s="16"/>
      <c r="BE193" s="16"/>
      <c r="BF193" s="16"/>
      <c r="BG193" s="16"/>
      <c r="BH193" s="16"/>
      <c r="BI193"/>
      <c r="BJ193"/>
      <c r="BK193"/>
      <c r="BL193"/>
      <c r="BM193"/>
      <c r="BN193"/>
      <c r="BO193"/>
      <c r="BP193"/>
      <c r="BQ193" s="55"/>
      <c r="BR193"/>
      <c r="BS193"/>
      <c r="BT193"/>
      <c r="BU193"/>
      <c r="BV193"/>
      <c r="BW193"/>
      <c r="BX193"/>
      <c r="BY193"/>
      <c r="BZ193"/>
      <c r="CA193"/>
      <c r="CB193"/>
      <c r="CC193"/>
      <c r="CD193"/>
      <c r="CE193"/>
      <c r="CF193"/>
      <c r="CH193" s="55"/>
      <c r="CI193"/>
      <c r="CJ193" s="16"/>
      <c r="CK193" s="16"/>
      <c r="CL193" s="28"/>
      <c r="CM193" s="28"/>
      <c r="CN193" s="28"/>
      <c r="CO193" s="28"/>
      <c r="CP193" s="28"/>
      <c r="CQ193" s="28"/>
      <c r="CR193" s="28"/>
      <c r="CS193" s="28"/>
      <c r="CT193" s="28"/>
      <c r="CU193" s="28"/>
      <c r="CV193" s="28"/>
      <c r="CW193" s="28"/>
      <c r="CX193" s="28"/>
      <c r="CY193" s="28"/>
      <c r="CZ193" s="28"/>
      <c r="DA193" s="28"/>
      <c r="DB193" s="28"/>
      <c r="DC193" s="28"/>
      <c r="DD193" s="28"/>
      <c r="DF193" s="55"/>
      <c r="DX193" s="28"/>
    </row>
    <row r="194" spans="1:128" s="19" customFormat="1" ht="16" customHeight="1">
      <c r="A194" s="18"/>
      <c r="B194" s="17"/>
      <c r="C194" s="16"/>
      <c r="D194" s="16"/>
      <c r="E194" s="16"/>
      <c r="F194" s="16"/>
      <c r="G194" s="16"/>
      <c r="H194" s="20"/>
      <c r="I194" s="20"/>
      <c r="J194" s="20"/>
      <c r="K194" s="20"/>
      <c r="L194" s="20"/>
      <c r="M194" s="20"/>
      <c r="N194" s="20"/>
      <c r="O194" s="20"/>
      <c r="P194" s="20"/>
      <c r="Q194" s="20"/>
      <c r="R194" s="20"/>
      <c r="S194" s="20"/>
      <c r="T194"/>
      <c r="U194"/>
      <c r="V194"/>
      <c r="W194"/>
      <c r="X194"/>
      <c r="Y194"/>
      <c r="Z194" s="16"/>
      <c r="AA194" s="16"/>
      <c r="AB194" s="55"/>
      <c r="AC194"/>
      <c r="AD194"/>
      <c r="AE194"/>
      <c r="AF194"/>
      <c r="AG194"/>
      <c r="AH194"/>
      <c r="AI194"/>
      <c r="AJ194"/>
      <c r="AK194"/>
      <c r="AL194"/>
      <c r="AM194"/>
      <c r="AN194"/>
      <c r="AO194"/>
      <c r="AP194"/>
      <c r="AQ194"/>
      <c r="AS194" s="55"/>
      <c r="AT194"/>
      <c r="AU194" s="41"/>
      <c r="AV194" s="16"/>
      <c r="AW194" s="16"/>
      <c r="AX194" s="16"/>
      <c r="AY194" s="16"/>
      <c r="AZ194" s="16"/>
      <c r="BA194" s="16"/>
      <c r="BB194" s="16"/>
      <c r="BC194" s="16"/>
      <c r="BD194" s="16"/>
      <c r="BE194" s="16"/>
      <c r="BF194" s="16"/>
      <c r="BG194" s="16"/>
      <c r="BH194" s="16"/>
      <c r="BI194"/>
      <c r="BJ194"/>
      <c r="BK194"/>
      <c r="BL194"/>
      <c r="BM194"/>
      <c r="BN194"/>
      <c r="BO194"/>
      <c r="BP194"/>
      <c r="BQ194" s="55"/>
      <c r="BR194"/>
      <c r="BS194"/>
      <c r="BT194"/>
      <c r="BU194"/>
      <c r="BV194"/>
      <c r="BW194"/>
      <c r="BX194"/>
      <c r="BY194"/>
      <c r="BZ194"/>
      <c r="CA194"/>
      <c r="CB194"/>
      <c r="CC194"/>
      <c r="CD194"/>
      <c r="CE194"/>
      <c r="CF194"/>
      <c r="CH194" s="55"/>
      <c r="CI194"/>
      <c r="CJ194" s="16"/>
      <c r="CK194" s="16"/>
      <c r="CL194" s="28"/>
      <c r="CM194" s="28"/>
      <c r="CN194" s="28"/>
      <c r="CO194" s="28"/>
      <c r="CP194" s="28"/>
      <c r="CQ194" s="28"/>
      <c r="CR194" s="28"/>
      <c r="CS194" s="28"/>
      <c r="CT194" s="28"/>
      <c r="CU194" s="28"/>
      <c r="CV194" s="28"/>
      <c r="CW194" s="28"/>
      <c r="CX194" s="28"/>
      <c r="CY194" s="28"/>
      <c r="CZ194" s="28"/>
      <c r="DA194" s="28"/>
      <c r="DB194" s="28"/>
      <c r="DC194" s="28"/>
      <c r="DD194" s="28"/>
      <c r="DF194" s="55"/>
      <c r="DX194" s="28"/>
    </row>
    <row r="195" spans="1:128" s="19" customFormat="1" ht="16" customHeight="1">
      <c r="A195" s="18"/>
      <c r="B195" s="17"/>
      <c r="C195" s="16"/>
      <c r="D195" s="16"/>
      <c r="E195" s="16"/>
      <c r="F195" s="16"/>
      <c r="G195" s="16"/>
      <c r="H195" s="20"/>
      <c r="I195" s="20"/>
      <c r="J195" s="20"/>
      <c r="K195" s="20"/>
      <c r="L195" s="20"/>
      <c r="M195" s="20"/>
      <c r="N195" s="20"/>
      <c r="O195" s="20"/>
      <c r="P195" s="20"/>
      <c r="Q195" s="20"/>
      <c r="R195" s="20"/>
      <c r="S195" s="20"/>
      <c r="T195"/>
      <c r="U195"/>
      <c r="V195"/>
      <c r="W195"/>
      <c r="X195"/>
      <c r="Y195"/>
      <c r="Z195" s="16"/>
      <c r="AA195" s="16"/>
      <c r="AB195" s="55"/>
      <c r="AC195"/>
      <c r="AD195"/>
      <c r="AE195"/>
      <c r="AF195"/>
      <c r="AG195"/>
      <c r="AH195"/>
      <c r="AI195"/>
      <c r="AJ195"/>
      <c r="AK195"/>
      <c r="AL195"/>
      <c r="AM195"/>
      <c r="AN195"/>
      <c r="AO195"/>
      <c r="AP195"/>
      <c r="AQ195"/>
      <c r="AS195" s="55"/>
      <c r="AT195"/>
      <c r="AU195" s="41"/>
      <c r="AV195" s="16"/>
      <c r="AW195" s="16"/>
      <c r="AX195" s="16"/>
      <c r="AY195" s="16"/>
      <c r="AZ195" s="16"/>
      <c r="BA195" s="16"/>
      <c r="BB195" s="16"/>
      <c r="BC195" s="16"/>
      <c r="BD195" s="16"/>
      <c r="BE195" s="16"/>
      <c r="BF195" s="16"/>
      <c r="BG195" s="16"/>
      <c r="BH195" s="16"/>
      <c r="BI195"/>
      <c r="BJ195"/>
      <c r="BK195"/>
      <c r="BL195"/>
      <c r="BM195"/>
      <c r="BN195"/>
      <c r="BO195"/>
      <c r="BP195"/>
      <c r="BQ195" s="55"/>
      <c r="BR195"/>
      <c r="BS195"/>
      <c r="BT195"/>
      <c r="BU195"/>
      <c r="BV195"/>
      <c r="BW195"/>
      <c r="BX195"/>
      <c r="BY195"/>
      <c r="BZ195"/>
      <c r="CA195"/>
      <c r="CB195"/>
      <c r="CC195"/>
      <c r="CD195"/>
      <c r="CE195"/>
      <c r="CF195"/>
      <c r="CH195" s="55"/>
      <c r="CI195"/>
      <c r="CJ195" s="16"/>
      <c r="CK195" s="16"/>
      <c r="CL195" s="28"/>
      <c r="CM195" s="28"/>
      <c r="CN195" s="28"/>
      <c r="CO195" s="28"/>
      <c r="CP195" s="28"/>
      <c r="CQ195" s="28"/>
      <c r="CR195" s="28"/>
      <c r="CS195" s="28"/>
      <c r="CT195" s="28"/>
      <c r="CU195" s="28"/>
      <c r="CV195" s="28"/>
      <c r="CW195" s="28"/>
      <c r="CX195" s="28"/>
      <c r="CY195" s="28"/>
      <c r="CZ195" s="28"/>
      <c r="DA195" s="28"/>
      <c r="DB195" s="28"/>
      <c r="DC195" s="28"/>
      <c r="DD195" s="28"/>
      <c r="DF195" s="55"/>
      <c r="DX195" s="28"/>
    </row>
    <row r="196" spans="1:128" s="19" customFormat="1" ht="16" customHeight="1">
      <c r="A196" s="18"/>
      <c r="B196" s="17"/>
      <c r="C196" s="16"/>
      <c r="D196" s="16"/>
      <c r="E196" s="16"/>
      <c r="F196" s="16"/>
      <c r="G196" s="16"/>
      <c r="H196" s="20"/>
      <c r="I196" s="20"/>
      <c r="J196" s="20"/>
      <c r="K196" s="20"/>
      <c r="L196" s="20"/>
      <c r="M196" s="20"/>
      <c r="N196" s="20"/>
      <c r="O196" s="20"/>
      <c r="P196" s="20"/>
      <c r="Q196" s="20"/>
      <c r="R196" s="20"/>
      <c r="S196" s="20"/>
      <c r="T196"/>
      <c r="U196"/>
      <c r="V196"/>
      <c r="W196"/>
      <c r="X196"/>
      <c r="Y196"/>
      <c r="Z196" s="16"/>
      <c r="AA196" s="16"/>
      <c r="AB196" s="55"/>
      <c r="AC196"/>
      <c r="AD196"/>
      <c r="AE196"/>
      <c r="AF196"/>
      <c r="AG196"/>
      <c r="AH196"/>
      <c r="AI196"/>
      <c r="AJ196"/>
      <c r="AK196"/>
      <c r="AL196"/>
      <c r="AM196"/>
      <c r="AN196"/>
      <c r="AO196"/>
      <c r="AP196"/>
      <c r="AQ196"/>
      <c r="AS196" s="55"/>
      <c r="AT196"/>
      <c r="AU196" s="41"/>
      <c r="AV196" s="16"/>
      <c r="AW196" s="16"/>
      <c r="AX196" s="16"/>
      <c r="AY196" s="16"/>
      <c r="AZ196" s="16"/>
      <c r="BA196" s="16"/>
      <c r="BB196" s="16"/>
      <c r="BC196" s="16"/>
      <c r="BD196" s="16"/>
      <c r="BE196" s="16"/>
      <c r="BF196" s="16"/>
      <c r="BG196" s="16"/>
      <c r="BH196" s="16"/>
      <c r="BI196"/>
      <c r="BJ196"/>
      <c r="BK196"/>
      <c r="BL196"/>
      <c r="BM196"/>
      <c r="BN196"/>
      <c r="BO196"/>
      <c r="BP196"/>
      <c r="BQ196" s="55"/>
      <c r="BR196"/>
      <c r="BS196"/>
      <c r="BT196"/>
      <c r="BU196"/>
      <c r="BV196"/>
      <c r="BW196"/>
      <c r="BX196"/>
      <c r="BY196"/>
      <c r="BZ196"/>
      <c r="CA196"/>
      <c r="CB196"/>
      <c r="CC196"/>
      <c r="CD196"/>
      <c r="CE196"/>
      <c r="CF196"/>
      <c r="CH196" s="55"/>
      <c r="CI196"/>
      <c r="CJ196" s="16"/>
      <c r="CK196" s="16"/>
      <c r="CL196" s="28"/>
      <c r="CM196" s="28"/>
      <c r="CN196" s="28"/>
      <c r="CO196" s="28"/>
      <c r="CP196" s="28"/>
      <c r="CQ196" s="28"/>
      <c r="CR196" s="28"/>
      <c r="CS196" s="28"/>
      <c r="CT196" s="28"/>
      <c r="CU196" s="28"/>
      <c r="CV196" s="28"/>
      <c r="CW196" s="28"/>
      <c r="CX196" s="28"/>
      <c r="CY196" s="28"/>
      <c r="CZ196" s="28"/>
      <c r="DA196" s="28"/>
      <c r="DB196" s="28"/>
      <c r="DC196" s="28"/>
      <c r="DD196" s="28"/>
      <c r="DF196" s="55"/>
      <c r="DX196" s="28"/>
    </row>
    <row r="197" spans="1:128" s="19" customFormat="1" ht="16" customHeight="1">
      <c r="A197" s="18"/>
      <c r="B197" s="17"/>
      <c r="C197" s="16"/>
      <c r="D197" s="16"/>
      <c r="E197" s="16"/>
      <c r="F197" s="16"/>
      <c r="G197" s="16"/>
      <c r="H197" s="20"/>
      <c r="I197" s="20"/>
      <c r="J197" s="20"/>
      <c r="K197" s="20"/>
      <c r="L197" s="20"/>
      <c r="M197" s="20"/>
      <c r="N197" s="20"/>
      <c r="O197" s="20"/>
      <c r="P197" s="20"/>
      <c r="Q197" s="20"/>
      <c r="R197" s="20"/>
      <c r="S197" s="20"/>
      <c r="T197"/>
      <c r="U197"/>
      <c r="V197"/>
      <c r="W197"/>
      <c r="X197"/>
      <c r="Y197"/>
      <c r="Z197" s="16"/>
      <c r="AA197" s="16"/>
      <c r="AB197" s="55"/>
      <c r="AC197"/>
      <c r="AD197"/>
      <c r="AE197"/>
      <c r="AF197"/>
      <c r="AG197"/>
      <c r="AH197"/>
      <c r="AI197"/>
      <c r="AJ197"/>
      <c r="AK197"/>
      <c r="AL197"/>
      <c r="AM197"/>
      <c r="AN197"/>
      <c r="AO197"/>
      <c r="AP197"/>
      <c r="AQ197"/>
      <c r="AS197" s="55"/>
      <c r="AT197"/>
      <c r="AU197" s="41"/>
      <c r="AV197" s="16"/>
      <c r="AW197" s="16"/>
      <c r="AX197" s="16"/>
      <c r="AY197" s="16"/>
      <c r="AZ197" s="16"/>
      <c r="BA197" s="16"/>
      <c r="BB197" s="16"/>
      <c r="BC197" s="16"/>
      <c r="BD197" s="16"/>
      <c r="BE197" s="16"/>
      <c r="BF197" s="16"/>
      <c r="BG197" s="16"/>
      <c r="BH197" s="16"/>
      <c r="BI197"/>
      <c r="BJ197"/>
      <c r="BK197"/>
      <c r="BL197"/>
      <c r="BM197"/>
      <c r="BN197"/>
      <c r="BO197"/>
      <c r="BP197"/>
      <c r="BQ197" s="55"/>
      <c r="BR197"/>
      <c r="BS197"/>
      <c r="BT197"/>
      <c r="BU197"/>
      <c r="BV197"/>
      <c r="BW197"/>
      <c r="BX197"/>
      <c r="BY197"/>
      <c r="BZ197"/>
      <c r="CA197"/>
      <c r="CB197"/>
      <c r="CC197"/>
      <c r="CD197"/>
      <c r="CE197"/>
      <c r="CF197"/>
      <c r="CH197" s="55"/>
      <c r="CI197"/>
      <c r="CJ197" s="16"/>
      <c r="CK197" s="16"/>
      <c r="CL197" s="28"/>
      <c r="CM197" s="28"/>
      <c r="CN197" s="28"/>
      <c r="CO197" s="28"/>
      <c r="CP197" s="28"/>
      <c r="CQ197" s="28"/>
      <c r="CR197" s="28"/>
      <c r="CS197" s="28"/>
      <c r="CT197" s="28"/>
      <c r="CU197" s="28"/>
      <c r="CV197" s="28"/>
      <c r="CW197" s="28"/>
      <c r="CX197" s="28"/>
      <c r="CY197" s="28"/>
      <c r="CZ197" s="28"/>
      <c r="DA197" s="28"/>
      <c r="DB197" s="28"/>
      <c r="DC197" s="28"/>
      <c r="DD197" s="28"/>
      <c r="DF197" s="55"/>
      <c r="DX197" s="28"/>
    </row>
    <row r="198" spans="1:128" s="19" customFormat="1" ht="16" customHeight="1">
      <c r="A198" s="18"/>
      <c r="B198" s="17"/>
      <c r="C198" s="16"/>
      <c r="D198" s="16"/>
      <c r="E198" s="16"/>
      <c r="F198" s="16"/>
      <c r="G198" s="16"/>
      <c r="H198" s="20"/>
      <c r="I198" s="20"/>
      <c r="J198" s="20"/>
      <c r="K198" s="20"/>
      <c r="L198" s="20"/>
      <c r="M198" s="20"/>
      <c r="N198" s="20"/>
      <c r="O198" s="20"/>
      <c r="P198" s="20"/>
      <c r="Q198" s="20"/>
      <c r="R198" s="20"/>
      <c r="S198" s="20"/>
      <c r="T198"/>
      <c r="U198"/>
      <c r="V198"/>
      <c r="W198"/>
      <c r="X198"/>
      <c r="Y198"/>
      <c r="Z198" s="16"/>
      <c r="AA198" s="16"/>
      <c r="AB198" s="55"/>
      <c r="AC198"/>
      <c r="AD198"/>
      <c r="AE198"/>
      <c r="AF198"/>
      <c r="AG198"/>
      <c r="AH198"/>
      <c r="AI198"/>
      <c r="AJ198"/>
      <c r="AK198"/>
      <c r="AL198"/>
      <c r="AM198"/>
      <c r="AN198"/>
      <c r="AO198"/>
      <c r="AP198"/>
      <c r="AQ198"/>
      <c r="AS198" s="55"/>
      <c r="AT198"/>
      <c r="AU198" s="41"/>
      <c r="AV198" s="16"/>
      <c r="AW198" s="16"/>
      <c r="AX198" s="16"/>
      <c r="AY198" s="16"/>
      <c r="AZ198" s="16"/>
      <c r="BA198" s="16"/>
      <c r="BB198" s="16"/>
      <c r="BC198" s="16"/>
      <c r="BD198" s="16"/>
      <c r="BE198" s="16"/>
      <c r="BF198" s="16"/>
      <c r="BG198" s="16"/>
      <c r="BH198" s="16"/>
      <c r="BI198"/>
      <c r="BJ198"/>
      <c r="BK198"/>
      <c r="BL198"/>
      <c r="BM198"/>
      <c r="BN198"/>
      <c r="BO198"/>
      <c r="BP198"/>
      <c r="BQ198" s="55"/>
      <c r="BR198"/>
      <c r="BS198"/>
      <c r="BT198"/>
      <c r="BU198"/>
      <c r="BV198"/>
      <c r="BW198"/>
      <c r="BX198"/>
      <c r="BY198"/>
      <c r="BZ198"/>
      <c r="CA198"/>
      <c r="CB198"/>
      <c r="CC198"/>
      <c r="CD198"/>
      <c r="CE198"/>
      <c r="CF198"/>
      <c r="CH198" s="55"/>
      <c r="CI198"/>
      <c r="CJ198" s="16"/>
      <c r="CK198" s="16"/>
      <c r="CL198" s="28"/>
      <c r="CM198" s="28"/>
      <c r="CN198" s="28"/>
      <c r="CO198" s="28"/>
      <c r="CP198" s="28"/>
      <c r="CQ198" s="28"/>
      <c r="CR198" s="28"/>
      <c r="CS198" s="28"/>
      <c r="CT198" s="28"/>
      <c r="CU198" s="28"/>
      <c r="CV198" s="28"/>
      <c r="CW198" s="28"/>
      <c r="CX198" s="28"/>
      <c r="CY198" s="28"/>
      <c r="CZ198" s="28"/>
      <c r="DA198" s="28"/>
      <c r="DB198" s="28"/>
      <c r="DC198" s="28"/>
      <c r="DD198" s="28"/>
      <c r="DF198" s="55"/>
      <c r="DX198" s="28"/>
    </row>
    <row r="199" spans="1:128" s="19" customFormat="1" ht="16" customHeight="1">
      <c r="A199" s="18"/>
      <c r="B199" s="17"/>
      <c r="C199" s="16"/>
      <c r="D199" s="16"/>
      <c r="E199" s="16"/>
      <c r="F199" s="16"/>
      <c r="G199" s="16"/>
      <c r="H199" s="20"/>
      <c r="I199" s="20"/>
      <c r="J199" s="20"/>
      <c r="K199" s="20"/>
      <c r="L199" s="20"/>
      <c r="M199" s="20"/>
      <c r="N199" s="20"/>
      <c r="O199" s="20"/>
      <c r="P199" s="20"/>
      <c r="Q199" s="20"/>
      <c r="R199" s="20"/>
      <c r="S199" s="20"/>
      <c r="T199"/>
      <c r="U199"/>
      <c r="V199"/>
      <c r="W199"/>
      <c r="X199"/>
      <c r="Y199"/>
      <c r="Z199" s="16"/>
      <c r="AA199" s="16"/>
      <c r="AB199" s="55"/>
      <c r="AC199"/>
      <c r="AD199"/>
      <c r="AE199"/>
      <c r="AF199"/>
      <c r="AG199"/>
      <c r="AH199"/>
      <c r="AI199"/>
      <c r="AJ199"/>
      <c r="AK199"/>
      <c r="AL199"/>
      <c r="AM199"/>
      <c r="AN199"/>
      <c r="AO199"/>
      <c r="AP199"/>
      <c r="AQ199"/>
      <c r="AS199" s="55"/>
      <c r="AT199"/>
      <c r="AU199" s="41"/>
      <c r="AV199" s="16"/>
      <c r="AW199" s="16"/>
      <c r="AX199" s="16"/>
      <c r="AY199" s="16"/>
      <c r="AZ199" s="16"/>
      <c r="BA199" s="16"/>
      <c r="BB199" s="16"/>
      <c r="BC199" s="16"/>
      <c r="BD199" s="16"/>
      <c r="BE199" s="16"/>
      <c r="BF199" s="16"/>
      <c r="BG199" s="16"/>
      <c r="BH199" s="16"/>
      <c r="BI199"/>
      <c r="BJ199"/>
      <c r="BK199"/>
      <c r="BL199"/>
      <c r="BM199"/>
      <c r="BN199"/>
      <c r="BO199"/>
      <c r="BP199"/>
      <c r="BQ199" s="55"/>
      <c r="BR199"/>
      <c r="BS199"/>
      <c r="BT199"/>
      <c r="BU199"/>
      <c r="BV199"/>
      <c r="BW199"/>
      <c r="BX199"/>
      <c r="BY199"/>
      <c r="BZ199"/>
      <c r="CA199"/>
      <c r="CB199"/>
      <c r="CC199"/>
      <c r="CD199"/>
      <c r="CE199"/>
      <c r="CF199"/>
      <c r="CH199" s="55"/>
      <c r="CI199"/>
      <c r="CJ199" s="16"/>
      <c r="CK199" s="16"/>
      <c r="CL199" s="28"/>
      <c r="CM199" s="28"/>
      <c r="CN199" s="28"/>
      <c r="CO199" s="28"/>
      <c r="CP199" s="28"/>
      <c r="CQ199" s="28"/>
      <c r="CR199" s="28"/>
      <c r="CS199" s="28"/>
      <c r="CT199" s="28"/>
      <c r="CU199" s="28"/>
      <c r="CV199" s="28"/>
      <c r="CW199" s="28"/>
      <c r="CX199" s="28"/>
      <c r="CY199" s="28"/>
      <c r="CZ199" s="28"/>
      <c r="DA199" s="28"/>
      <c r="DB199" s="28"/>
      <c r="DC199" s="28"/>
      <c r="DD199" s="28"/>
      <c r="DF199" s="55"/>
      <c r="DX199" s="28"/>
    </row>
    <row r="200" spans="1:128" s="19" customFormat="1" ht="16" customHeight="1">
      <c r="A200" s="18"/>
      <c r="B200" s="17"/>
      <c r="C200" s="16"/>
      <c r="D200" s="16"/>
      <c r="E200" s="16"/>
      <c r="F200" s="16"/>
      <c r="G200" s="16"/>
      <c r="H200" s="20"/>
      <c r="I200" s="20"/>
      <c r="J200" s="20"/>
      <c r="K200" s="20"/>
      <c r="L200" s="20"/>
      <c r="M200" s="20"/>
      <c r="N200" s="20"/>
      <c r="O200" s="20"/>
      <c r="P200" s="20"/>
      <c r="Q200" s="20"/>
      <c r="R200" s="20"/>
      <c r="S200" s="20"/>
      <c r="T200"/>
      <c r="U200"/>
      <c r="V200"/>
      <c r="W200"/>
      <c r="X200"/>
      <c r="Y200"/>
      <c r="Z200" s="16"/>
      <c r="AA200" s="16"/>
      <c r="AB200" s="55"/>
      <c r="AC200"/>
      <c r="AD200"/>
      <c r="AE200"/>
      <c r="AF200"/>
      <c r="AG200"/>
      <c r="AH200"/>
      <c r="AI200"/>
      <c r="AJ200"/>
      <c r="AK200"/>
      <c r="AL200"/>
      <c r="AM200"/>
      <c r="AN200"/>
      <c r="AO200"/>
      <c r="AP200"/>
      <c r="AQ200"/>
      <c r="AS200" s="55"/>
      <c r="AT200"/>
      <c r="AU200" s="41"/>
      <c r="AV200" s="16"/>
      <c r="AW200" s="16"/>
      <c r="AX200" s="16"/>
      <c r="AY200" s="16"/>
      <c r="AZ200" s="16"/>
      <c r="BA200" s="16"/>
      <c r="BB200" s="16"/>
      <c r="BC200" s="16"/>
      <c r="BD200" s="16"/>
      <c r="BE200" s="16"/>
      <c r="BF200" s="16"/>
      <c r="BG200" s="16"/>
      <c r="BH200" s="16"/>
      <c r="BI200"/>
      <c r="BJ200"/>
      <c r="BK200"/>
      <c r="BL200"/>
      <c r="BM200"/>
      <c r="BN200"/>
      <c r="BO200"/>
      <c r="BP200"/>
      <c r="BQ200" s="55"/>
      <c r="BR200"/>
      <c r="BS200"/>
      <c r="BT200"/>
      <c r="BU200"/>
      <c r="BV200"/>
      <c r="BW200"/>
      <c r="BX200"/>
      <c r="BY200"/>
      <c r="BZ200"/>
      <c r="CA200"/>
      <c r="CB200"/>
      <c r="CC200"/>
      <c r="CD200"/>
      <c r="CE200"/>
      <c r="CF200"/>
      <c r="CH200" s="55"/>
      <c r="CI200"/>
      <c r="CJ200" s="16"/>
      <c r="CK200" s="16"/>
      <c r="CL200" s="28"/>
      <c r="CM200" s="28"/>
      <c r="CN200" s="28"/>
      <c r="CO200" s="28"/>
      <c r="CP200" s="28"/>
      <c r="CQ200" s="28"/>
      <c r="CR200" s="28"/>
      <c r="CS200" s="28"/>
      <c r="CT200" s="28"/>
      <c r="CU200" s="28"/>
      <c r="CV200" s="28"/>
      <c r="CW200" s="28"/>
      <c r="CX200" s="28"/>
      <c r="CY200" s="28"/>
      <c r="CZ200" s="28"/>
      <c r="DA200" s="28"/>
      <c r="DB200" s="28"/>
      <c r="DC200" s="28"/>
      <c r="DD200" s="28"/>
      <c r="DF200" s="55"/>
      <c r="DX200" s="28"/>
    </row>
    <row r="201" spans="1:128" s="19" customFormat="1" ht="16" customHeight="1">
      <c r="A201" s="18"/>
      <c r="B201" s="17"/>
      <c r="C201" s="16"/>
      <c r="D201" s="16"/>
      <c r="E201" s="16"/>
      <c r="F201" s="16"/>
      <c r="G201" s="16"/>
      <c r="H201" s="20"/>
      <c r="I201" s="20"/>
      <c r="J201" s="20"/>
      <c r="K201" s="20"/>
      <c r="L201" s="20"/>
      <c r="M201" s="20"/>
      <c r="N201" s="20"/>
      <c r="O201" s="20"/>
      <c r="P201" s="20"/>
      <c r="Q201" s="20"/>
      <c r="R201" s="20"/>
      <c r="S201" s="20"/>
      <c r="T201"/>
      <c r="U201"/>
      <c r="V201"/>
      <c r="W201"/>
      <c r="X201"/>
      <c r="Y201"/>
      <c r="Z201" s="16"/>
      <c r="AA201" s="16"/>
      <c r="AB201" s="55"/>
      <c r="AC201"/>
      <c r="AD201"/>
      <c r="AE201"/>
      <c r="AF201"/>
      <c r="AG201"/>
      <c r="AH201"/>
      <c r="AI201"/>
      <c r="AJ201"/>
      <c r="AK201"/>
      <c r="AL201"/>
      <c r="AM201"/>
      <c r="AN201"/>
      <c r="AO201"/>
      <c r="AP201"/>
      <c r="AQ201"/>
      <c r="AS201" s="55"/>
      <c r="AT201"/>
      <c r="AU201" s="41"/>
      <c r="AV201" s="16"/>
      <c r="AW201" s="16"/>
      <c r="AX201" s="16"/>
      <c r="AY201" s="16"/>
      <c r="AZ201" s="16"/>
      <c r="BA201" s="16"/>
      <c r="BB201" s="16"/>
      <c r="BC201" s="16"/>
      <c r="BD201" s="16"/>
      <c r="BE201" s="16"/>
      <c r="BF201" s="16"/>
      <c r="BG201" s="16"/>
      <c r="BH201" s="16"/>
      <c r="BI201"/>
      <c r="BJ201"/>
      <c r="BK201"/>
      <c r="BL201"/>
      <c r="BM201"/>
      <c r="BN201"/>
      <c r="BO201"/>
      <c r="BP201"/>
      <c r="BQ201" s="55"/>
      <c r="BR201"/>
      <c r="BS201"/>
      <c r="BT201"/>
      <c r="BU201"/>
      <c r="BV201"/>
      <c r="BW201"/>
      <c r="BX201"/>
      <c r="BY201"/>
      <c r="BZ201"/>
      <c r="CA201"/>
      <c r="CB201"/>
      <c r="CC201"/>
      <c r="CD201"/>
      <c r="CE201"/>
      <c r="CF201"/>
      <c r="CH201" s="55"/>
      <c r="CI201"/>
      <c r="CJ201" s="16"/>
      <c r="CK201" s="16"/>
      <c r="CL201" s="28"/>
      <c r="CM201" s="28"/>
      <c r="CN201" s="28"/>
      <c r="CO201" s="28"/>
      <c r="CP201" s="28"/>
      <c r="CQ201" s="28"/>
      <c r="CR201" s="28"/>
      <c r="CS201" s="28"/>
      <c r="CT201" s="28"/>
      <c r="CU201" s="28"/>
      <c r="CV201" s="28"/>
      <c r="CW201" s="28"/>
      <c r="CX201" s="28"/>
      <c r="CY201" s="28"/>
      <c r="CZ201" s="28"/>
      <c r="DA201" s="28"/>
      <c r="DB201" s="28"/>
      <c r="DC201" s="28"/>
      <c r="DD201" s="28"/>
      <c r="DF201" s="55"/>
      <c r="DX201" s="28"/>
    </row>
    <row r="202" spans="1:128" s="19" customFormat="1" ht="16" customHeight="1">
      <c r="A202" s="18"/>
      <c r="B202" s="17"/>
      <c r="C202" s="16"/>
      <c r="D202" s="16"/>
      <c r="E202" s="16"/>
      <c r="F202" s="16"/>
      <c r="G202" s="16"/>
      <c r="H202" s="20"/>
      <c r="I202" s="20"/>
      <c r="J202" s="20"/>
      <c r="K202" s="20"/>
      <c r="L202" s="20"/>
      <c r="M202" s="20"/>
      <c r="N202" s="20"/>
      <c r="O202" s="20"/>
      <c r="P202" s="20"/>
      <c r="Q202" s="20"/>
      <c r="R202" s="20"/>
      <c r="S202" s="20"/>
      <c r="T202"/>
      <c r="U202"/>
      <c r="V202"/>
      <c r="W202"/>
      <c r="X202"/>
      <c r="Y202"/>
      <c r="Z202" s="16"/>
      <c r="AA202" s="16"/>
      <c r="AB202" s="55"/>
      <c r="AC202"/>
      <c r="AD202"/>
      <c r="AE202"/>
      <c r="AF202"/>
      <c r="AG202"/>
      <c r="AH202"/>
      <c r="AI202"/>
      <c r="AJ202"/>
      <c r="AK202"/>
      <c r="AL202"/>
      <c r="AM202"/>
      <c r="AN202"/>
      <c r="AO202"/>
      <c r="AP202"/>
      <c r="AQ202"/>
      <c r="AS202" s="55"/>
      <c r="AT202"/>
      <c r="AU202" s="41"/>
      <c r="AV202" s="16"/>
      <c r="AW202" s="16"/>
      <c r="AX202" s="16"/>
      <c r="AY202" s="16"/>
      <c r="AZ202" s="16"/>
      <c r="BA202" s="16"/>
      <c r="BB202" s="16"/>
      <c r="BC202" s="16"/>
      <c r="BD202" s="16"/>
      <c r="BE202" s="16"/>
      <c r="BF202" s="16"/>
      <c r="BG202" s="16"/>
      <c r="BH202" s="16"/>
      <c r="BI202"/>
      <c r="BJ202"/>
      <c r="BK202"/>
      <c r="BL202"/>
      <c r="BM202"/>
      <c r="BN202"/>
      <c r="BO202"/>
      <c r="BP202"/>
      <c r="BQ202" s="55"/>
      <c r="BR202"/>
      <c r="BS202"/>
      <c r="BT202"/>
      <c r="BU202"/>
      <c r="BV202"/>
      <c r="BW202"/>
      <c r="BX202"/>
      <c r="BY202"/>
      <c r="BZ202"/>
      <c r="CA202"/>
      <c r="CB202"/>
      <c r="CC202"/>
      <c r="CD202"/>
      <c r="CE202"/>
      <c r="CF202"/>
      <c r="CH202" s="55"/>
      <c r="CI202"/>
      <c r="CJ202" s="16"/>
      <c r="CK202" s="16"/>
      <c r="CL202" s="28"/>
      <c r="CM202" s="28"/>
      <c r="CN202" s="28"/>
      <c r="CO202" s="28"/>
      <c r="CP202" s="28"/>
      <c r="CQ202" s="28"/>
      <c r="CR202" s="28"/>
      <c r="CS202" s="28"/>
      <c r="CT202" s="28"/>
      <c r="CU202" s="28"/>
      <c r="CV202" s="28"/>
      <c r="CW202" s="28"/>
      <c r="CX202" s="28"/>
      <c r="CY202" s="28"/>
      <c r="CZ202" s="28"/>
      <c r="DA202" s="28"/>
      <c r="DB202" s="28"/>
      <c r="DC202" s="28"/>
      <c r="DD202" s="28"/>
      <c r="DF202" s="55"/>
      <c r="DX202" s="28"/>
    </row>
    <row r="203" spans="1:128" s="19" customFormat="1" ht="16" customHeight="1">
      <c r="A203" s="18"/>
      <c r="B203" s="17"/>
      <c r="C203" s="16"/>
      <c r="D203" s="16"/>
      <c r="E203" s="16"/>
      <c r="F203" s="16"/>
      <c r="G203" s="16"/>
      <c r="H203" s="20"/>
      <c r="I203" s="20"/>
      <c r="J203" s="20"/>
      <c r="K203" s="20"/>
      <c r="L203" s="20"/>
      <c r="M203" s="20"/>
      <c r="N203" s="20"/>
      <c r="O203" s="20"/>
      <c r="P203" s="20"/>
      <c r="Q203" s="20"/>
      <c r="R203" s="20"/>
      <c r="S203" s="20"/>
      <c r="T203"/>
      <c r="U203"/>
      <c r="V203"/>
      <c r="W203"/>
      <c r="X203"/>
      <c r="Y203"/>
      <c r="Z203" s="16"/>
      <c r="AA203" s="16"/>
      <c r="AB203" s="55"/>
      <c r="AC203"/>
      <c r="AD203"/>
      <c r="AE203"/>
      <c r="AF203"/>
      <c r="AG203"/>
      <c r="AH203"/>
      <c r="AI203"/>
      <c r="AJ203"/>
      <c r="AK203"/>
      <c r="AL203"/>
      <c r="AM203"/>
      <c r="AN203"/>
      <c r="AO203"/>
      <c r="AP203"/>
      <c r="AQ203"/>
      <c r="AS203" s="55"/>
      <c r="AT203"/>
      <c r="AU203" s="41"/>
      <c r="AV203" s="16"/>
      <c r="AW203" s="16"/>
      <c r="AX203" s="16"/>
      <c r="AY203" s="16"/>
      <c r="AZ203" s="16"/>
      <c r="BA203" s="16"/>
      <c r="BB203" s="16"/>
      <c r="BC203" s="16"/>
      <c r="BD203" s="16"/>
      <c r="BE203" s="16"/>
      <c r="BF203" s="16"/>
      <c r="BG203" s="16"/>
      <c r="BH203" s="16"/>
      <c r="BI203"/>
      <c r="BJ203"/>
      <c r="BK203"/>
      <c r="BL203"/>
      <c r="BM203"/>
      <c r="BN203"/>
      <c r="BO203"/>
      <c r="BP203"/>
      <c r="BQ203" s="55"/>
      <c r="BR203"/>
      <c r="BS203"/>
      <c r="BT203"/>
      <c r="BU203"/>
      <c r="BV203"/>
      <c r="BW203"/>
      <c r="BX203"/>
      <c r="BY203"/>
      <c r="BZ203"/>
      <c r="CA203"/>
      <c r="CB203"/>
      <c r="CC203"/>
      <c r="CD203"/>
      <c r="CE203"/>
      <c r="CF203"/>
      <c r="CH203" s="55"/>
      <c r="CI203"/>
      <c r="CJ203" s="16"/>
      <c r="CK203" s="16"/>
      <c r="CL203" s="28"/>
      <c r="CM203" s="28"/>
      <c r="CN203" s="28"/>
      <c r="CO203" s="28"/>
      <c r="CP203" s="28"/>
      <c r="CQ203" s="28"/>
      <c r="CR203" s="28"/>
      <c r="CS203" s="28"/>
      <c r="CT203" s="28"/>
      <c r="CU203" s="28"/>
      <c r="CV203" s="28"/>
      <c r="CW203" s="28"/>
      <c r="CX203" s="28"/>
      <c r="CY203" s="28"/>
      <c r="CZ203" s="28"/>
      <c r="DA203" s="28"/>
      <c r="DB203" s="28"/>
      <c r="DC203" s="28"/>
      <c r="DD203" s="28"/>
      <c r="DF203" s="55"/>
      <c r="DX203" s="28"/>
    </row>
    <row r="204" spans="1:128" s="19" customFormat="1" ht="16" customHeight="1">
      <c r="A204" s="18"/>
      <c r="B204" s="17"/>
      <c r="C204" s="16"/>
      <c r="D204" s="16"/>
      <c r="E204" s="16"/>
      <c r="F204" s="16"/>
      <c r="G204" s="16"/>
      <c r="H204" s="20"/>
      <c r="I204" s="20"/>
      <c r="J204" s="20"/>
      <c r="K204" s="20"/>
      <c r="L204" s="20"/>
      <c r="M204" s="20"/>
      <c r="N204" s="20"/>
      <c r="O204" s="20"/>
      <c r="P204" s="20"/>
      <c r="Q204" s="20"/>
      <c r="R204" s="20"/>
      <c r="S204" s="20"/>
      <c r="T204"/>
      <c r="U204"/>
      <c r="V204"/>
      <c r="W204"/>
      <c r="X204"/>
      <c r="Y204"/>
      <c r="Z204" s="16"/>
      <c r="AA204" s="16"/>
      <c r="AB204" s="55"/>
      <c r="AC204"/>
      <c r="AD204"/>
      <c r="AE204"/>
      <c r="AF204"/>
      <c r="AG204"/>
      <c r="AH204"/>
      <c r="AI204"/>
      <c r="AJ204"/>
      <c r="AK204"/>
      <c r="AL204"/>
      <c r="AM204"/>
      <c r="AN204"/>
      <c r="AO204"/>
      <c r="AP204"/>
      <c r="AQ204"/>
      <c r="AS204" s="55"/>
      <c r="AT204"/>
      <c r="AU204" s="41"/>
      <c r="AV204" s="16"/>
      <c r="AW204" s="16"/>
      <c r="AX204" s="16"/>
      <c r="AY204" s="16"/>
      <c r="AZ204" s="16"/>
      <c r="BA204" s="16"/>
      <c r="BB204" s="16"/>
      <c r="BC204" s="16"/>
      <c r="BD204" s="16"/>
      <c r="BE204" s="16"/>
      <c r="BF204" s="16"/>
      <c r="BG204" s="16"/>
      <c r="BH204" s="16"/>
      <c r="BI204"/>
      <c r="BJ204"/>
      <c r="BK204"/>
      <c r="BL204"/>
      <c r="BM204"/>
      <c r="BN204"/>
      <c r="BO204"/>
      <c r="BP204"/>
      <c r="BQ204" s="55"/>
      <c r="BR204"/>
      <c r="BS204"/>
      <c r="BT204"/>
      <c r="BU204"/>
      <c r="BV204"/>
      <c r="BW204"/>
      <c r="BX204"/>
      <c r="BY204"/>
      <c r="BZ204"/>
      <c r="CA204"/>
      <c r="CB204"/>
      <c r="CC204"/>
      <c r="CD204"/>
      <c r="CE204"/>
      <c r="CF204"/>
      <c r="CH204" s="55"/>
      <c r="CI204"/>
      <c r="CJ204" s="16"/>
      <c r="CK204" s="16"/>
      <c r="CL204" s="28"/>
      <c r="CM204" s="28"/>
      <c r="CN204" s="28"/>
      <c r="CO204" s="28"/>
      <c r="CP204" s="28"/>
      <c r="CQ204" s="28"/>
      <c r="CR204" s="28"/>
      <c r="CS204" s="28"/>
      <c r="CT204" s="28"/>
      <c r="CU204" s="28"/>
      <c r="CV204" s="28"/>
      <c r="CW204" s="28"/>
      <c r="CX204" s="28"/>
      <c r="CY204" s="28"/>
      <c r="CZ204" s="28"/>
      <c r="DA204" s="28"/>
      <c r="DB204" s="28"/>
      <c r="DC204" s="28"/>
      <c r="DD204" s="28"/>
      <c r="DF204" s="55"/>
      <c r="DX204" s="28"/>
    </row>
    <row r="205" spans="1:128" s="19" customFormat="1" ht="16" customHeight="1">
      <c r="A205" s="18"/>
      <c r="B205" s="17"/>
      <c r="C205" s="16"/>
      <c r="D205" s="16"/>
      <c r="E205" s="16"/>
      <c r="F205" s="16"/>
      <c r="G205" s="16"/>
      <c r="H205" s="20"/>
      <c r="I205" s="20"/>
      <c r="J205" s="20"/>
      <c r="K205" s="20"/>
      <c r="L205" s="20"/>
      <c r="M205" s="20"/>
      <c r="N205" s="20"/>
      <c r="O205" s="20"/>
      <c r="P205" s="20"/>
      <c r="Q205" s="20"/>
      <c r="R205" s="20"/>
      <c r="S205" s="20"/>
      <c r="T205"/>
      <c r="U205"/>
      <c r="V205"/>
      <c r="W205"/>
      <c r="X205"/>
      <c r="Y205"/>
      <c r="Z205" s="16"/>
      <c r="AA205" s="16"/>
      <c r="AB205" s="55"/>
      <c r="AC205"/>
      <c r="AD205"/>
      <c r="AE205"/>
      <c r="AF205"/>
      <c r="AG205"/>
      <c r="AH205"/>
      <c r="AI205"/>
      <c r="AJ205"/>
      <c r="AK205"/>
      <c r="AL205"/>
      <c r="AM205"/>
      <c r="AN205"/>
      <c r="AO205"/>
      <c r="AP205"/>
      <c r="AQ205"/>
      <c r="AS205" s="55"/>
      <c r="AT205"/>
      <c r="AU205" s="41"/>
      <c r="AV205" s="16"/>
      <c r="AW205" s="16"/>
      <c r="AX205" s="16"/>
      <c r="AY205" s="16"/>
      <c r="AZ205" s="16"/>
      <c r="BA205" s="16"/>
      <c r="BB205" s="16"/>
      <c r="BC205" s="16"/>
      <c r="BD205" s="16"/>
      <c r="BE205" s="16"/>
      <c r="BF205" s="16"/>
      <c r="BG205" s="16"/>
      <c r="BH205" s="16"/>
      <c r="BI205"/>
      <c r="BJ205"/>
      <c r="BK205"/>
      <c r="BL205"/>
      <c r="BM205"/>
      <c r="BN205"/>
      <c r="BO205"/>
      <c r="BP205"/>
      <c r="BQ205" s="55"/>
      <c r="BR205"/>
      <c r="BS205"/>
      <c r="BT205"/>
      <c r="BU205"/>
      <c r="BV205"/>
      <c r="BW205"/>
      <c r="BX205"/>
      <c r="BY205"/>
      <c r="BZ205"/>
      <c r="CA205"/>
      <c r="CB205"/>
      <c r="CC205"/>
      <c r="CD205"/>
      <c r="CE205"/>
      <c r="CF205"/>
      <c r="CH205" s="55"/>
      <c r="CI205"/>
      <c r="CJ205" s="16"/>
      <c r="CK205" s="16"/>
      <c r="CL205" s="28"/>
      <c r="CM205" s="28"/>
      <c r="CN205" s="28"/>
      <c r="CO205" s="28"/>
      <c r="CP205" s="28"/>
      <c r="CQ205" s="28"/>
      <c r="CR205" s="28"/>
      <c r="CS205" s="28"/>
      <c r="CT205" s="28"/>
      <c r="CU205" s="28"/>
      <c r="CV205" s="28"/>
      <c r="CW205" s="28"/>
      <c r="CX205" s="28"/>
      <c r="CY205" s="28"/>
      <c r="CZ205" s="28"/>
      <c r="DA205" s="28"/>
      <c r="DB205" s="28"/>
      <c r="DC205" s="28"/>
      <c r="DD205" s="28"/>
      <c r="DF205" s="55"/>
      <c r="DX205" s="28"/>
    </row>
    <row r="206" spans="1:128" s="19" customFormat="1" ht="16" customHeight="1">
      <c r="A206" s="18"/>
      <c r="B206" s="17"/>
      <c r="C206" s="16"/>
      <c r="D206" s="16"/>
      <c r="E206" s="16"/>
      <c r="F206" s="16"/>
      <c r="G206" s="16"/>
      <c r="H206" s="20"/>
      <c r="I206" s="20"/>
      <c r="J206" s="20"/>
      <c r="K206" s="20"/>
      <c r="L206" s="20"/>
      <c r="M206" s="20"/>
      <c r="N206" s="20"/>
      <c r="O206" s="20"/>
      <c r="P206" s="20"/>
      <c r="Q206" s="20"/>
      <c r="R206" s="20"/>
      <c r="S206" s="20"/>
      <c r="T206"/>
      <c r="U206"/>
      <c r="V206"/>
      <c r="W206"/>
      <c r="X206"/>
      <c r="Y206"/>
      <c r="Z206" s="16"/>
      <c r="AA206" s="16"/>
      <c r="AB206" s="55"/>
      <c r="AC206"/>
      <c r="AD206"/>
      <c r="AE206"/>
      <c r="AF206"/>
      <c r="AG206"/>
      <c r="AH206"/>
      <c r="AI206"/>
      <c r="AJ206"/>
      <c r="AK206"/>
      <c r="AL206"/>
      <c r="AM206"/>
      <c r="AN206"/>
      <c r="AO206"/>
      <c r="AP206"/>
      <c r="AQ206"/>
      <c r="AS206" s="55"/>
      <c r="AT206"/>
      <c r="AU206" s="41"/>
      <c r="AV206" s="16"/>
      <c r="AW206" s="16"/>
      <c r="AX206" s="16"/>
      <c r="AY206" s="16"/>
      <c r="AZ206" s="16"/>
      <c r="BA206" s="16"/>
      <c r="BB206" s="16"/>
      <c r="BC206" s="16"/>
      <c r="BD206" s="16"/>
      <c r="BE206" s="16"/>
      <c r="BF206" s="16"/>
      <c r="BG206" s="16"/>
      <c r="BH206" s="16"/>
      <c r="BI206"/>
      <c r="BJ206"/>
      <c r="BK206"/>
      <c r="BL206"/>
      <c r="BM206"/>
      <c r="BN206"/>
      <c r="BO206"/>
      <c r="BP206"/>
      <c r="BQ206" s="55"/>
      <c r="BR206"/>
      <c r="BS206"/>
      <c r="BT206"/>
      <c r="BU206"/>
      <c r="BV206"/>
      <c r="BW206"/>
      <c r="BX206"/>
      <c r="BY206"/>
      <c r="BZ206"/>
      <c r="CA206"/>
      <c r="CB206"/>
      <c r="CC206"/>
      <c r="CD206"/>
      <c r="CE206"/>
      <c r="CF206"/>
      <c r="CH206" s="55"/>
      <c r="CI206"/>
      <c r="CJ206" s="16"/>
      <c r="CK206" s="16"/>
      <c r="CL206" s="28"/>
      <c r="CM206" s="28"/>
      <c r="CN206" s="28"/>
      <c r="CO206" s="28"/>
      <c r="CP206" s="28"/>
      <c r="CQ206" s="28"/>
      <c r="CR206" s="28"/>
      <c r="CS206" s="28"/>
      <c r="CT206" s="28"/>
      <c r="CU206" s="28"/>
      <c r="CV206" s="28"/>
      <c r="CW206" s="28"/>
      <c r="CX206" s="28"/>
      <c r="CY206" s="28"/>
      <c r="CZ206" s="28"/>
      <c r="DA206" s="28"/>
      <c r="DB206" s="28"/>
      <c r="DC206" s="28"/>
      <c r="DD206" s="28"/>
      <c r="DF206" s="55"/>
      <c r="DX206" s="28"/>
    </row>
    <row r="207" spans="1:128" s="19" customFormat="1" ht="16" customHeight="1">
      <c r="A207" s="18"/>
      <c r="B207" s="17"/>
      <c r="C207" s="16"/>
      <c r="D207" s="16"/>
      <c r="E207" s="16"/>
      <c r="F207" s="16"/>
      <c r="G207" s="16"/>
      <c r="H207" s="20"/>
      <c r="I207" s="20"/>
      <c r="J207" s="20"/>
      <c r="K207" s="20"/>
      <c r="L207" s="20"/>
      <c r="M207" s="20"/>
      <c r="N207" s="20"/>
      <c r="O207" s="20"/>
      <c r="P207" s="20"/>
      <c r="Q207" s="20"/>
      <c r="R207" s="20"/>
      <c r="S207" s="20"/>
      <c r="T207"/>
      <c r="U207"/>
      <c r="V207"/>
      <c r="W207"/>
      <c r="X207"/>
      <c r="Y207"/>
      <c r="Z207" s="16"/>
      <c r="AA207" s="16"/>
      <c r="AB207" s="55"/>
      <c r="AC207"/>
      <c r="AD207"/>
      <c r="AE207"/>
      <c r="AF207"/>
      <c r="AG207"/>
      <c r="AH207"/>
      <c r="AI207"/>
      <c r="AJ207"/>
      <c r="AK207"/>
      <c r="AL207"/>
      <c r="AM207"/>
      <c r="AN207"/>
      <c r="AO207"/>
      <c r="AP207"/>
      <c r="AQ207"/>
      <c r="AS207" s="55"/>
      <c r="AT207"/>
      <c r="AU207" s="41"/>
      <c r="AV207" s="16"/>
      <c r="AW207" s="16"/>
      <c r="AX207" s="16"/>
      <c r="AY207" s="16"/>
      <c r="AZ207" s="16"/>
      <c r="BA207" s="16"/>
      <c r="BB207" s="16"/>
      <c r="BC207" s="16"/>
      <c r="BD207" s="16"/>
      <c r="BE207" s="16"/>
      <c r="BF207" s="16"/>
      <c r="BG207" s="16"/>
      <c r="BH207" s="16"/>
      <c r="BI207"/>
      <c r="BJ207"/>
      <c r="BK207"/>
      <c r="BL207"/>
      <c r="BM207"/>
      <c r="BN207"/>
      <c r="BO207"/>
      <c r="BP207"/>
      <c r="BQ207" s="55"/>
      <c r="BR207"/>
      <c r="BS207"/>
      <c r="BT207"/>
      <c r="BU207"/>
      <c r="BV207"/>
      <c r="BW207"/>
      <c r="BX207"/>
      <c r="BY207"/>
      <c r="BZ207"/>
      <c r="CA207"/>
      <c r="CB207"/>
      <c r="CC207"/>
      <c r="CD207"/>
      <c r="CE207"/>
      <c r="CF207"/>
      <c r="CH207" s="55"/>
      <c r="CI207"/>
      <c r="CJ207" s="16"/>
      <c r="CK207" s="16"/>
      <c r="CL207" s="28"/>
      <c r="CM207" s="28"/>
      <c r="CN207" s="28"/>
      <c r="CO207" s="28"/>
      <c r="CP207" s="28"/>
      <c r="CQ207" s="28"/>
      <c r="CR207" s="28"/>
      <c r="CS207" s="28"/>
      <c r="CT207" s="28"/>
      <c r="CU207" s="28"/>
      <c r="CV207" s="28"/>
      <c r="CW207" s="28"/>
      <c r="CX207" s="28"/>
      <c r="CY207" s="28"/>
      <c r="CZ207" s="28"/>
      <c r="DA207" s="28"/>
      <c r="DB207" s="28"/>
      <c r="DC207" s="28"/>
      <c r="DD207" s="28"/>
      <c r="DF207" s="55"/>
      <c r="DX207" s="28"/>
    </row>
    <row r="208" spans="1:128" s="19" customFormat="1" ht="16" customHeight="1">
      <c r="A208" s="18"/>
      <c r="B208" s="17"/>
      <c r="C208" s="16"/>
      <c r="D208" s="16"/>
      <c r="E208" s="16"/>
      <c r="F208" s="16"/>
      <c r="G208" s="16"/>
      <c r="H208" s="20"/>
      <c r="I208" s="20"/>
      <c r="J208" s="20"/>
      <c r="K208" s="20"/>
      <c r="L208" s="20"/>
      <c r="M208" s="20"/>
      <c r="N208" s="20"/>
      <c r="O208" s="20"/>
      <c r="P208" s="20"/>
      <c r="Q208" s="20"/>
      <c r="R208" s="20"/>
      <c r="S208" s="20"/>
      <c r="T208"/>
      <c r="U208"/>
      <c r="V208"/>
      <c r="W208"/>
      <c r="X208"/>
      <c r="Y208"/>
      <c r="Z208" s="16"/>
      <c r="AA208" s="16"/>
      <c r="AB208" s="55"/>
      <c r="AC208"/>
      <c r="AD208"/>
      <c r="AE208"/>
      <c r="AF208"/>
      <c r="AG208"/>
      <c r="AH208"/>
      <c r="AI208"/>
      <c r="AJ208"/>
      <c r="AK208"/>
      <c r="AL208"/>
      <c r="AM208"/>
      <c r="AN208"/>
      <c r="AO208"/>
      <c r="AP208"/>
      <c r="AQ208"/>
      <c r="AS208" s="55"/>
      <c r="AT208"/>
      <c r="AU208" s="41"/>
      <c r="AV208" s="16"/>
      <c r="AW208" s="16"/>
      <c r="AX208" s="16"/>
      <c r="AY208" s="16"/>
      <c r="AZ208" s="16"/>
      <c r="BA208" s="16"/>
      <c r="BB208" s="16"/>
      <c r="BC208" s="16"/>
      <c r="BD208" s="16"/>
      <c r="BE208" s="16"/>
      <c r="BF208" s="16"/>
      <c r="BG208" s="16"/>
      <c r="BH208" s="16"/>
      <c r="BI208"/>
      <c r="BJ208"/>
      <c r="BK208"/>
      <c r="BL208"/>
      <c r="BM208"/>
      <c r="BN208"/>
      <c r="BO208"/>
      <c r="BP208"/>
      <c r="BQ208" s="55"/>
      <c r="BR208"/>
      <c r="BS208"/>
      <c r="BT208"/>
      <c r="BU208"/>
      <c r="BV208"/>
      <c r="BW208"/>
      <c r="BX208"/>
      <c r="BY208"/>
      <c r="BZ208"/>
      <c r="CA208"/>
      <c r="CB208"/>
      <c r="CC208"/>
      <c r="CD208"/>
      <c r="CE208"/>
      <c r="CF208"/>
      <c r="CH208" s="55"/>
      <c r="CI208"/>
      <c r="CJ208" s="16"/>
      <c r="CK208" s="16"/>
      <c r="CL208" s="28"/>
      <c r="CM208" s="28"/>
      <c r="CN208" s="28"/>
      <c r="CO208" s="28"/>
      <c r="CP208" s="28"/>
      <c r="CQ208" s="28"/>
      <c r="CR208" s="28"/>
      <c r="CS208" s="28"/>
      <c r="CT208" s="28"/>
      <c r="CU208" s="28"/>
      <c r="CV208" s="28"/>
      <c r="CW208" s="28"/>
      <c r="CX208" s="28"/>
      <c r="CY208" s="28"/>
      <c r="CZ208" s="28"/>
      <c r="DA208" s="28"/>
      <c r="DB208" s="28"/>
      <c r="DC208" s="28"/>
      <c r="DD208" s="28"/>
      <c r="DF208" s="55"/>
      <c r="DX208" s="28"/>
    </row>
    <row r="209" spans="1:128" s="19" customFormat="1" ht="16" customHeight="1">
      <c r="A209" s="18"/>
      <c r="B209" s="17"/>
      <c r="C209" s="16"/>
      <c r="D209" s="16"/>
      <c r="E209" s="16"/>
      <c r="F209" s="16"/>
      <c r="G209" s="16"/>
      <c r="H209" s="20"/>
      <c r="I209" s="20"/>
      <c r="J209" s="20"/>
      <c r="K209" s="20"/>
      <c r="L209" s="20"/>
      <c r="M209" s="20"/>
      <c r="N209" s="20"/>
      <c r="O209" s="20"/>
      <c r="P209" s="20"/>
      <c r="Q209" s="20"/>
      <c r="R209" s="20"/>
      <c r="S209" s="20"/>
      <c r="T209"/>
      <c r="U209"/>
      <c r="V209"/>
      <c r="W209"/>
      <c r="X209"/>
      <c r="Y209"/>
      <c r="Z209" s="16"/>
      <c r="AA209" s="16"/>
      <c r="AB209" s="55"/>
      <c r="AC209"/>
      <c r="AD209"/>
      <c r="AE209"/>
      <c r="AF209"/>
      <c r="AG209"/>
      <c r="AH209"/>
      <c r="AI209"/>
      <c r="AJ209"/>
      <c r="AK209"/>
      <c r="AL209"/>
      <c r="AM209"/>
      <c r="AN209"/>
      <c r="AO209"/>
      <c r="AP209"/>
      <c r="AQ209"/>
      <c r="AS209" s="55"/>
      <c r="AT209"/>
      <c r="AU209" s="41"/>
      <c r="AV209" s="16"/>
      <c r="AW209" s="16"/>
      <c r="AX209" s="16"/>
      <c r="AY209" s="16"/>
      <c r="AZ209" s="16"/>
      <c r="BA209" s="16"/>
      <c r="BB209" s="16"/>
      <c r="BC209" s="16"/>
      <c r="BD209" s="16"/>
      <c r="BE209" s="16"/>
      <c r="BF209" s="16"/>
      <c r="BG209" s="16"/>
      <c r="BH209" s="16"/>
      <c r="BI209"/>
      <c r="BJ209"/>
      <c r="BK209"/>
      <c r="BL209"/>
      <c r="BM209"/>
      <c r="BN209"/>
      <c r="BO209"/>
      <c r="BP209"/>
      <c r="BQ209" s="55"/>
      <c r="BR209"/>
      <c r="BS209"/>
      <c r="BT209"/>
      <c r="BU209"/>
      <c r="BV209"/>
      <c r="BW209"/>
      <c r="BX209"/>
      <c r="BY209"/>
      <c r="BZ209"/>
      <c r="CA209"/>
      <c r="CB209"/>
      <c r="CC209"/>
      <c r="CD209"/>
      <c r="CE209"/>
      <c r="CF209"/>
      <c r="CH209" s="55"/>
      <c r="CI209"/>
      <c r="CJ209" s="16"/>
      <c r="CK209" s="16"/>
      <c r="CL209" s="28"/>
      <c r="CM209" s="28"/>
      <c r="CN209" s="28"/>
      <c r="CO209" s="28"/>
      <c r="CP209" s="28"/>
      <c r="CQ209" s="28"/>
      <c r="CR209" s="28"/>
      <c r="CS209" s="28"/>
      <c r="CT209" s="28"/>
      <c r="CU209" s="28"/>
      <c r="CV209" s="28"/>
      <c r="CW209" s="28"/>
      <c r="CX209" s="28"/>
      <c r="CY209" s="28"/>
      <c r="CZ209" s="28"/>
      <c r="DA209" s="28"/>
      <c r="DB209" s="28"/>
      <c r="DC209" s="28"/>
      <c r="DD209" s="28"/>
      <c r="DF209" s="55"/>
      <c r="DX209" s="28"/>
    </row>
    <row r="210" spans="1:128" s="19" customFormat="1" ht="16" customHeight="1">
      <c r="A210" s="18"/>
      <c r="B210" s="17"/>
      <c r="C210" s="16"/>
      <c r="D210" s="16"/>
      <c r="E210" s="16"/>
      <c r="F210" s="16"/>
      <c r="G210" s="16"/>
      <c r="H210" s="20"/>
      <c r="I210" s="20"/>
      <c r="J210" s="20"/>
      <c r="K210" s="20"/>
      <c r="L210" s="20"/>
      <c r="M210" s="20"/>
      <c r="N210" s="20"/>
      <c r="O210" s="20"/>
      <c r="P210" s="20"/>
      <c r="Q210" s="20"/>
      <c r="R210" s="20"/>
      <c r="S210" s="20"/>
      <c r="T210"/>
      <c r="U210"/>
      <c r="V210"/>
      <c r="W210"/>
      <c r="X210"/>
      <c r="Y210"/>
      <c r="Z210" s="16"/>
      <c r="AA210" s="16"/>
      <c r="AB210" s="55"/>
      <c r="AC210"/>
      <c r="AD210"/>
      <c r="AE210"/>
      <c r="AF210"/>
      <c r="AG210"/>
      <c r="AH210"/>
      <c r="AI210"/>
      <c r="AJ210"/>
      <c r="AK210"/>
      <c r="AL210"/>
      <c r="AM210"/>
      <c r="AN210"/>
      <c r="AO210"/>
      <c r="AP210"/>
      <c r="AQ210"/>
      <c r="AS210" s="55"/>
      <c r="AT210"/>
      <c r="AU210" s="41"/>
      <c r="AV210" s="16"/>
      <c r="AW210" s="16"/>
      <c r="AX210" s="16"/>
      <c r="AY210" s="16"/>
      <c r="AZ210" s="16"/>
      <c r="BA210" s="16"/>
      <c r="BB210" s="16"/>
      <c r="BC210" s="16"/>
      <c r="BD210" s="16"/>
      <c r="BE210" s="16"/>
      <c r="BF210" s="16"/>
      <c r="BG210" s="16"/>
      <c r="BH210" s="16"/>
      <c r="BI210"/>
      <c r="BJ210"/>
      <c r="BK210"/>
      <c r="BL210"/>
      <c r="BM210"/>
      <c r="BN210"/>
      <c r="BO210"/>
      <c r="BP210"/>
      <c r="BQ210" s="55"/>
      <c r="BR210"/>
      <c r="BS210"/>
      <c r="BT210"/>
      <c r="BU210"/>
      <c r="BV210"/>
      <c r="BW210"/>
      <c r="BX210"/>
      <c r="BY210"/>
      <c r="BZ210"/>
      <c r="CA210"/>
      <c r="CB210"/>
      <c r="CC210"/>
      <c r="CD210"/>
      <c r="CE210"/>
      <c r="CF210"/>
      <c r="CH210" s="55"/>
      <c r="CI210"/>
      <c r="CJ210" s="16"/>
      <c r="CK210" s="16"/>
      <c r="CL210" s="28"/>
      <c r="CM210" s="28"/>
      <c r="CN210" s="28"/>
      <c r="CO210" s="28"/>
      <c r="CP210" s="28"/>
      <c r="CQ210" s="28"/>
      <c r="CR210" s="28"/>
      <c r="CS210" s="28"/>
      <c r="CT210" s="28"/>
      <c r="CU210" s="28"/>
      <c r="CV210" s="28"/>
      <c r="CW210" s="28"/>
      <c r="CX210" s="28"/>
      <c r="CY210" s="28"/>
      <c r="CZ210" s="28"/>
      <c r="DA210" s="28"/>
      <c r="DB210" s="28"/>
      <c r="DC210" s="28"/>
      <c r="DD210" s="28"/>
      <c r="DF210" s="55"/>
      <c r="DX210" s="28"/>
    </row>
    <row r="211" spans="1:128" s="19" customFormat="1" ht="16" customHeight="1">
      <c r="A211" s="18"/>
      <c r="B211" s="17"/>
      <c r="C211" s="16"/>
      <c r="D211" s="16"/>
      <c r="E211" s="16"/>
      <c r="F211" s="16"/>
      <c r="G211" s="16"/>
      <c r="H211" s="20"/>
      <c r="I211" s="20"/>
      <c r="J211" s="20"/>
      <c r="K211" s="20"/>
      <c r="L211" s="20"/>
      <c r="M211" s="20"/>
      <c r="N211" s="20"/>
      <c r="O211" s="20"/>
      <c r="P211" s="20"/>
      <c r="Q211" s="20"/>
      <c r="R211" s="20"/>
      <c r="S211" s="20"/>
      <c r="T211"/>
      <c r="U211"/>
      <c r="V211"/>
      <c r="W211"/>
      <c r="X211"/>
      <c r="Y211"/>
      <c r="Z211" s="16"/>
      <c r="AA211" s="16"/>
      <c r="AB211" s="55"/>
      <c r="AC211"/>
      <c r="AD211"/>
      <c r="AE211"/>
      <c r="AF211"/>
      <c r="AG211"/>
      <c r="AH211"/>
      <c r="AI211"/>
      <c r="AJ211"/>
      <c r="AK211"/>
      <c r="AL211"/>
      <c r="AM211"/>
      <c r="AN211"/>
      <c r="AO211"/>
      <c r="AP211"/>
      <c r="AQ211"/>
      <c r="AS211" s="55"/>
      <c r="AT211"/>
      <c r="AU211" s="41"/>
      <c r="AV211" s="16"/>
      <c r="AW211" s="16"/>
      <c r="AX211" s="16"/>
      <c r="AY211" s="16"/>
      <c r="AZ211" s="16"/>
      <c r="BA211" s="16"/>
      <c r="BB211" s="16"/>
      <c r="BC211" s="16"/>
      <c r="BD211" s="16"/>
      <c r="BE211" s="16"/>
      <c r="BF211" s="16"/>
      <c r="BG211" s="16"/>
      <c r="BH211" s="16"/>
      <c r="BI211"/>
      <c r="BJ211"/>
      <c r="BK211"/>
      <c r="BL211"/>
      <c r="BM211"/>
      <c r="BN211"/>
      <c r="BO211"/>
      <c r="BP211"/>
      <c r="BQ211" s="55"/>
      <c r="BR211"/>
      <c r="BS211"/>
      <c r="BT211"/>
      <c r="BU211"/>
      <c r="BV211"/>
      <c r="BW211"/>
      <c r="BX211"/>
      <c r="BY211"/>
      <c r="BZ211"/>
      <c r="CA211"/>
      <c r="CB211"/>
      <c r="CC211"/>
      <c r="CD211"/>
      <c r="CE211"/>
      <c r="CF211"/>
      <c r="CH211" s="55"/>
      <c r="CI211"/>
      <c r="CJ211" s="16"/>
      <c r="CK211" s="16"/>
      <c r="CL211" s="28"/>
      <c r="CM211" s="28"/>
      <c r="CN211" s="28"/>
      <c r="CO211" s="28"/>
      <c r="CP211" s="28"/>
      <c r="CQ211" s="28"/>
      <c r="CR211" s="28"/>
      <c r="CS211" s="28"/>
      <c r="CT211" s="28"/>
      <c r="CU211" s="28"/>
      <c r="CV211" s="28"/>
      <c r="CW211" s="28"/>
      <c r="CX211" s="28"/>
      <c r="CY211" s="28"/>
      <c r="CZ211" s="28"/>
      <c r="DA211" s="28"/>
      <c r="DB211" s="28"/>
      <c r="DC211" s="28"/>
      <c r="DD211" s="28"/>
      <c r="DF211" s="55"/>
      <c r="DX211" s="28"/>
    </row>
    <row r="212" spans="1:128" s="19" customFormat="1" ht="16" customHeight="1">
      <c r="A212" s="18"/>
      <c r="B212" s="17"/>
      <c r="C212" s="16"/>
      <c r="D212" s="16"/>
      <c r="E212" s="16"/>
      <c r="F212" s="16"/>
      <c r="G212" s="16"/>
      <c r="H212" s="20"/>
      <c r="I212" s="20"/>
      <c r="J212" s="20"/>
      <c r="K212" s="20"/>
      <c r="L212" s="20"/>
      <c r="M212" s="20"/>
      <c r="N212" s="20"/>
      <c r="O212" s="20"/>
      <c r="P212" s="20"/>
      <c r="Q212" s="20"/>
      <c r="R212" s="20"/>
      <c r="S212" s="20"/>
      <c r="T212"/>
      <c r="U212"/>
      <c r="V212"/>
      <c r="W212"/>
      <c r="X212"/>
      <c r="Y212"/>
      <c r="Z212" s="16"/>
      <c r="AA212" s="16"/>
      <c r="AB212" s="55"/>
      <c r="AC212"/>
      <c r="AD212"/>
      <c r="AE212"/>
      <c r="AF212"/>
      <c r="AG212"/>
      <c r="AH212"/>
      <c r="AI212"/>
      <c r="AJ212"/>
      <c r="AK212"/>
      <c r="AL212"/>
      <c r="AM212"/>
      <c r="AN212"/>
      <c r="AO212"/>
      <c r="AP212"/>
      <c r="AQ212"/>
      <c r="AS212" s="55"/>
      <c r="AT212"/>
      <c r="AU212" s="41"/>
      <c r="AV212" s="16"/>
      <c r="AW212" s="16"/>
      <c r="AX212" s="16"/>
      <c r="AY212" s="16"/>
      <c r="AZ212" s="16"/>
      <c r="BA212" s="16"/>
      <c r="BB212" s="16"/>
      <c r="BC212" s="16"/>
      <c r="BD212" s="16"/>
      <c r="BE212" s="16"/>
      <c r="BF212" s="16"/>
      <c r="BG212" s="16"/>
      <c r="BH212" s="16"/>
      <c r="BI212"/>
      <c r="BJ212"/>
      <c r="BK212"/>
      <c r="BL212"/>
      <c r="BM212"/>
      <c r="BN212"/>
      <c r="BO212"/>
      <c r="BP212"/>
      <c r="BQ212" s="55"/>
      <c r="BR212"/>
      <c r="BS212"/>
      <c r="BT212"/>
      <c r="BU212"/>
      <c r="BV212"/>
      <c r="BW212"/>
      <c r="BX212"/>
      <c r="BY212"/>
      <c r="BZ212"/>
      <c r="CA212"/>
      <c r="CB212"/>
      <c r="CC212"/>
      <c r="CD212"/>
      <c r="CE212"/>
      <c r="CF212"/>
      <c r="CH212" s="55"/>
      <c r="CI212"/>
      <c r="CJ212" s="16"/>
      <c r="CK212" s="16"/>
      <c r="CL212" s="28"/>
      <c r="CM212" s="28"/>
      <c r="CN212" s="28"/>
      <c r="CO212" s="28"/>
      <c r="CP212" s="28"/>
      <c r="CQ212" s="28"/>
      <c r="CR212" s="28"/>
      <c r="CS212" s="28"/>
      <c r="CT212" s="28"/>
      <c r="CU212" s="28"/>
      <c r="CV212" s="28"/>
      <c r="CW212" s="28"/>
      <c r="CX212" s="28"/>
      <c r="CY212" s="28"/>
      <c r="CZ212" s="28"/>
      <c r="DA212" s="28"/>
      <c r="DB212" s="28"/>
      <c r="DC212" s="28"/>
      <c r="DD212" s="28"/>
      <c r="DF212" s="55"/>
      <c r="DX212" s="28"/>
    </row>
    <row r="213" spans="1:128" s="19" customFormat="1" ht="16" customHeight="1">
      <c r="A213" s="18"/>
      <c r="B213" s="17"/>
      <c r="C213" s="16"/>
      <c r="D213" s="16"/>
      <c r="E213" s="16"/>
      <c r="F213" s="16"/>
      <c r="G213" s="16"/>
      <c r="H213" s="20"/>
      <c r="I213" s="20"/>
      <c r="J213" s="20"/>
      <c r="K213" s="20"/>
      <c r="L213" s="20"/>
      <c r="M213" s="20"/>
      <c r="N213" s="20"/>
      <c r="O213" s="20"/>
      <c r="P213" s="20"/>
      <c r="Q213" s="20"/>
      <c r="R213" s="20"/>
      <c r="S213" s="20"/>
      <c r="T213"/>
      <c r="U213"/>
      <c r="V213"/>
      <c r="W213"/>
      <c r="X213"/>
      <c r="Y213"/>
      <c r="Z213" s="16"/>
      <c r="AA213" s="16"/>
      <c r="AB213" s="55"/>
      <c r="AC213"/>
      <c r="AD213"/>
      <c r="AE213"/>
      <c r="AF213"/>
      <c r="AG213"/>
      <c r="AH213"/>
      <c r="AI213"/>
      <c r="AJ213"/>
      <c r="AK213"/>
      <c r="AL213"/>
      <c r="AM213"/>
      <c r="AN213"/>
      <c r="AO213"/>
      <c r="AP213"/>
      <c r="AQ213"/>
      <c r="AS213" s="55"/>
      <c r="AT213"/>
      <c r="AU213" s="41"/>
      <c r="AV213" s="16"/>
      <c r="AW213" s="16"/>
      <c r="AX213" s="16"/>
      <c r="AY213" s="16"/>
      <c r="AZ213" s="16"/>
      <c r="BA213" s="16"/>
      <c r="BB213" s="16"/>
      <c r="BC213" s="16"/>
      <c r="BD213" s="16"/>
      <c r="BE213" s="16"/>
      <c r="BF213" s="16"/>
      <c r="BG213" s="16"/>
      <c r="BH213" s="16"/>
      <c r="BI213"/>
      <c r="BJ213"/>
      <c r="BK213"/>
      <c r="BL213"/>
      <c r="BM213"/>
      <c r="BN213"/>
      <c r="BO213"/>
      <c r="BP213"/>
      <c r="BQ213" s="55"/>
      <c r="BR213"/>
      <c r="BS213"/>
      <c r="BT213"/>
      <c r="BU213"/>
      <c r="BV213"/>
      <c r="BW213"/>
      <c r="BX213"/>
      <c r="BY213"/>
      <c r="BZ213"/>
      <c r="CA213"/>
      <c r="CB213"/>
      <c r="CC213"/>
      <c r="CD213"/>
      <c r="CE213"/>
      <c r="CF213"/>
      <c r="CH213" s="55"/>
      <c r="CI213"/>
      <c r="CJ213" s="16"/>
      <c r="CK213" s="16"/>
      <c r="CL213" s="28"/>
      <c r="CM213" s="28"/>
      <c r="CN213" s="28"/>
      <c r="CO213" s="28"/>
      <c r="CP213" s="28"/>
      <c r="CQ213" s="28"/>
      <c r="CR213" s="28"/>
      <c r="CS213" s="28"/>
      <c r="CT213" s="28"/>
      <c r="CU213" s="28"/>
      <c r="CV213" s="28"/>
      <c r="CW213" s="28"/>
      <c r="CX213" s="28"/>
      <c r="CY213" s="28"/>
      <c r="CZ213" s="28"/>
      <c r="DA213" s="28"/>
      <c r="DB213" s="28"/>
      <c r="DC213" s="28"/>
      <c r="DD213" s="28"/>
      <c r="DF213" s="55"/>
      <c r="DX213" s="28"/>
    </row>
    <row r="214" spans="1:128" s="19" customFormat="1" ht="16" customHeight="1">
      <c r="A214" s="18"/>
      <c r="B214" s="17"/>
      <c r="C214" s="16"/>
      <c r="D214" s="16"/>
      <c r="E214" s="16"/>
      <c r="F214" s="16"/>
      <c r="G214" s="16"/>
      <c r="H214" s="20"/>
      <c r="I214" s="20"/>
      <c r="J214" s="20"/>
      <c r="K214" s="20"/>
      <c r="L214" s="20"/>
      <c r="M214" s="20"/>
      <c r="N214" s="20"/>
      <c r="O214" s="20"/>
      <c r="P214" s="20"/>
      <c r="Q214" s="20"/>
      <c r="R214" s="20"/>
      <c r="S214" s="20"/>
      <c r="T214"/>
      <c r="U214"/>
      <c r="V214"/>
      <c r="W214"/>
      <c r="X214"/>
      <c r="Y214"/>
      <c r="Z214" s="16"/>
      <c r="AA214" s="16"/>
      <c r="AB214" s="55"/>
      <c r="AC214"/>
      <c r="AD214"/>
      <c r="AE214"/>
      <c r="AF214"/>
      <c r="AG214"/>
      <c r="AH214"/>
      <c r="AI214"/>
      <c r="AJ214"/>
      <c r="AK214"/>
      <c r="AL214"/>
      <c r="AM214"/>
      <c r="AN214"/>
      <c r="AO214"/>
      <c r="AP214"/>
      <c r="AQ214"/>
      <c r="AS214" s="55"/>
      <c r="AT214"/>
      <c r="AU214" s="41"/>
      <c r="AV214" s="16"/>
      <c r="AW214" s="16"/>
      <c r="AX214" s="16"/>
      <c r="AY214" s="16"/>
      <c r="AZ214" s="16"/>
      <c r="BA214" s="16"/>
      <c r="BB214" s="16"/>
      <c r="BC214" s="16"/>
      <c r="BD214" s="16"/>
      <c r="BE214" s="16"/>
      <c r="BF214" s="16"/>
      <c r="BG214" s="16"/>
      <c r="BH214" s="16"/>
      <c r="BI214"/>
      <c r="BJ214"/>
      <c r="BK214"/>
      <c r="BL214"/>
      <c r="BM214"/>
      <c r="BN214"/>
      <c r="BO214"/>
      <c r="BP214"/>
      <c r="BQ214" s="55"/>
      <c r="BR214"/>
      <c r="BS214"/>
      <c r="BT214"/>
      <c r="BU214"/>
      <c r="BV214"/>
      <c r="BW214"/>
      <c r="BX214"/>
      <c r="BY214"/>
      <c r="BZ214"/>
      <c r="CA214"/>
      <c r="CB214"/>
      <c r="CC214"/>
      <c r="CD214"/>
      <c r="CE214"/>
      <c r="CF214"/>
      <c r="CH214" s="55"/>
      <c r="CI214"/>
      <c r="CJ214" s="16"/>
      <c r="CK214" s="16"/>
      <c r="CL214" s="28"/>
      <c r="CM214" s="28"/>
      <c r="CN214" s="28"/>
      <c r="CO214" s="28"/>
      <c r="CP214" s="28"/>
      <c r="CQ214" s="28"/>
      <c r="CR214" s="28"/>
      <c r="CS214" s="28"/>
      <c r="CT214" s="28"/>
      <c r="CU214" s="28"/>
      <c r="CV214" s="28"/>
      <c r="CW214" s="28"/>
      <c r="CX214" s="28"/>
      <c r="CY214" s="28"/>
      <c r="CZ214" s="28"/>
      <c r="DA214" s="28"/>
      <c r="DB214" s="28"/>
      <c r="DC214" s="28"/>
      <c r="DD214" s="28"/>
      <c r="DF214" s="55"/>
      <c r="DX214" s="28"/>
    </row>
    <row r="215" spans="1:128" s="19" customFormat="1" ht="16" customHeight="1">
      <c r="A215" s="18"/>
      <c r="B215" s="17"/>
      <c r="C215" s="16"/>
      <c r="D215" s="16"/>
      <c r="E215" s="16"/>
      <c r="F215" s="16"/>
      <c r="G215" s="16"/>
      <c r="H215" s="20"/>
      <c r="I215" s="20"/>
      <c r="J215" s="20"/>
      <c r="K215" s="20"/>
      <c r="L215" s="20"/>
      <c r="M215" s="20"/>
      <c r="N215" s="20"/>
      <c r="O215" s="20"/>
      <c r="P215" s="20"/>
      <c r="Q215" s="20"/>
      <c r="R215" s="20"/>
      <c r="S215" s="20"/>
      <c r="T215"/>
      <c r="U215"/>
      <c r="V215"/>
      <c r="W215"/>
      <c r="X215"/>
      <c r="Y215"/>
      <c r="Z215" s="16"/>
      <c r="AA215" s="16"/>
      <c r="AB215" s="55"/>
      <c r="AC215"/>
      <c r="AD215"/>
      <c r="AE215"/>
      <c r="AF215"/>
      <c r="AG215"/>
      <c r="AH215"/>
      <c r="AI215"/>
      <c r="AJ215"/>
      <c r="AK215"/>
      <c r="AL215"/>
      <c r="AM215"/>
      <c r="AN215"/>
      <c r="AO215"/>
      <c r="AP215"/>
      <c r="AQ215"/>
      <c r="AS215" s="55"/>
      <c r="AT215"/>
      <c r="AU215" s="41"/>
      <c r="AV215" s="16"/>
      <c r="AW215" s="16"/>
      <c r="AX215" s="16"/>
      <c r="AY215" s="16"/>
      <c r="AZ215" s="16"/>
      <c r="BA215" s="16"/>
      <c r="BB215" s="16"/>
      <c r="BC215" s="16"/>
      <c r="BD215" s="16"/>
      <c r="BE215" s="16"/>
      <c r="BF215" s="16"/>
      <c r="BG215" s="16"/>
      <c r="BH215" s="16"/>
      <c r="BI215"/>
      <c r="BJ215"/>
      <c r="BK215"/>
      <c r="BL215"/>
      <c r="BM215"/>
      <c r="BN215"/>
      <c r="BO215"/>
      <c r="BP215"/>
      <c r="BQ215" s="55"/>
      <c r="BR215"/>
      <c r="BS215"/>
      <c r="BT215"/>
      <c r="BU215"/>
      <c r="BV215"/>
      <c r="BW215"/>
      <c r="BX215"/>
      <c r="BY215"/>
      <c r="BZ215"/>
      <c r="CA215"/>
      <c r="CB215"/>
      <c r="CC215"/>
      <c r="CD215"/>
      <c r="CE215"/>
      <c r="CF215"/>
      <c r="CH215" s="55"/>
      <c r="CI215"/>
      <c r="CJ215" s="16"/>
      <c r="CK215" s="16"/>
      <c r="CL215" s="28"/>
      <c r="CM215" s="28"/>
      <c r="CN215" s="28"/>
      <c r="CO215" s="28"/>
      <c r="CP215" s="28"/>
      <c r="CQ215" s="28"/>
      <c r="CR215" s="28"/>
      <c r="CS215" s="28"/>
      <c r="CT215" s="28"/>
      <c r="CU215" s="28"/>
      <c r="CV215" s="28"/>
      <c r="CW215" s="28"/>
      <c r="CX215" s="28"/>
      <c r="CY215" s="28"/>
      <c r="CZ215" s="28"/>
      <c r="DA215" s="28"/>
      <c r="DB215" s="28"/>
      <c r="DC215" s="28"/>
      <c r="DD215" s="28"/>
      <c r="DF215" s="55"/>
      <c r="DX215" s="28"/>
    </row>
    <row r="216" spans="1:128" s="19" customFormat="1" ht="16" customHeight="1">
      <c r="A216" s="18"/>
      <c r="B216" s="17"/>
      <c r="C216" s="16"/>
      <c r="D216" s="16"/>
      <c r="E216" s="16"/>
      <c r="F216" s="16"/>
      <c r="G216" s="16"/>
      <c r="H216" s="20"/>
      <c r="I216" s="20"/>
      <c r="J216" s="20"/>
      <c r="K216" s="20"/>
      <c r="L216" s="20"/>
      <c r="M216" s="20"/>
      <c r="N216" s="20"/>
      <c r="O216" s="20"/>
      <c r="P216" s="20"/>
      <c r="Q216" s="20"/>
      <c r="R216" s="20"/>
      <c r="S216" s="20"/>
      <c r="T216"/>
      <c r="U216"/>
      <c r="V216"/>
      <c r="W216"/>
      <c r="X216"/>
      <c r="Y216"/>
      <c r="Z216" s="16"/>
      <c r="AA216" s="16"/>
      <c r="AB216" s="55"/>
      <c r="AC216"/>
      <c r="AD216"/>
      <c r="AE216"/>
      <c r="AF216"/>
      <c r="AG216"/>
      <c r="AH216"/>
      <c r="AI216"/>
      <c r="AJ216"/>
      <c r="AK216"/>
      <c r="AL216"/>
      <c r="AM216"/>
      <c r="AN216"/>
      <c r="AO216"/>
      <c r="AP216"/>
      <c r="AQ216"/>
      <c r="AS216" s="55"/>
      <c r="AT216"/>
      <c r="AU216" s="41"/>
      <c r="AV216" s="16"/>
      <c r="AW216" s="16"/>
      <c r="AX216" s="16"/>
      <c r="AY216" s="16"/>
      <c r="AZ216" s="16"/>
      <c r="BA216" s="16"/>
      <c r="BB216" s="16"/>
      <c r="BC216" s="16"/>
      <c r="BD216" s="16"/>
      <c r="BE216" s="16"/>
      <c r="BF216" s="16"/>
      <c r="BG216" s="16"/>
      <c r="BH216" s="16"/>
      <c r="BI216"/>
      <c r="BJ216"/>
      <c r="BK216"/>
      <c r="BL216"/>
      <c r="BM216"/>
      <c r="BN216"/>
      <c r="BO216"/>
      <c r="BP216"/>
      <c r="BQ216" s="55"/>
      <c r="BR216"/>
      <c r="BS216"/>
      <c r="BT216"/>
      <c r="BU216"/>
      <c r="BV216"/>
      <c r="BW216"/>
      <c r="BX216"/>
      <c r="BY216"/>
      <c r="BZ216"/>
      <c r="CA216"/>
      <c r="CB216"/>
      <c r="CC216"/>
      <c r="CD216"/>
      <c r="CE216"/>
      <c r="CF216"/>
      <c r="CH216" s="55"/>
      <c r="CI216"/>
      <c r="CJ216" s="16"/>
      <c r="CK216" s="16"/>
      <c r="CL216" s="28"/>
      <c r="CM216" s="28"/>
      <c r="CN216" s="28"/>
      <c r="CO216" s="28"/>
      <c r="CP216" s="28"/>
      <c r="CQ216" s="28"/>
      <c r="CR216" s="28"/>
      <c r="CS216" s="28"/>
      <c r="CT216" s="28"/>
      <c r="CU216" s="28"/>
      <c r="CV216" s="28"/>
      <c r="CW216" s="28"/>
      <c r="CX216" s="28"/>
      <c r="CY216" s="28"/>
      <c r="CZ216" s="28"/>
      <c r="DA216" s="28"/>
      <c r="DB216" s="28"/>
      <c r="DC216" s="28"/>
      <c r="DD216" s="28"/>
      <c r="DF216" s="55"/>
      <c r="DX216" s="28"/>
    </row>
    <row r="217" spans="1:128" s="19" customFormat="1" ht="16" customHeight="1">
      <c r="A217" s="18"/>
      <c r="B217" s="17"/>
      <c r="C217" s="16"/>
      <c r="D217" s="16"/>
      <c r="E217" s="16"/>
      <c r="F217" s="16"/>
      <c r="G217" s="16"/>
      <c r="H217" s="20"/>
      <c r="I217" s="20"/>
      <c r="J217" s="20"/>
      <c r="K217" s="20"/>
      <c r="L217" s="20"/>
      <c r="M217" s="20"/>
      <c r="N217" s="20"/>
      <c r="O217" s="20"/>
      <c r="P217" s="20"/>
      <c r="Q217" s="20"/>
      <c r="R217" s="20"/>
      <c r="S217" s="20"/>
      <c r="T217"/>
      <c r="U217"/>
      <c r="V217"/>
      <c r="W217"/>
      <c r="X217"/>
      <c r="Y217"/>
      <c r="Z217" s="16"/>
      <c r="AA217" s="16"/>
      <c r="AB217" s="55"/>
      <c r="AC217"/>
      <c r="AD217"/>
      <c r="AE217"/>
      <c r="AF217"/>
      <c r="AG217"/>
      <c r="AH217"/>
      <c r="AI217"/>
      <c r="AJ217"/>
      <c r="AK217"/>
      <c r="AL217"/>
      <c r="AM217"/>
      <c r="AN217"/>
      <c r="AO217"/>
      <c r="AP217"/>
      <c r="AQ217"/>
      <c r="AS217" s="55"/>
      <c r="AT217"/>
      <c r="AU217" s="41"/>
      <c r="AV217" s="16"/>
      <c r="AW217" s="16"/>
      <c r="AX217" s="16"/>
      <c r="AY217" s="16"/>
      <c r="AZ217" s="16"/>
      <c r="BA217" s="16"/>
      <c r="BB217" s="16"/>
      <c r="BC217" s="16"/>
      <c r="BD217" s="16"/>
      <c r="BE217" s="16"/>
      <c r="BF217" s="16"/>
      <c r="BG217" s="16"/>
      <c r="BH217" s="16"/>
      <c r="BI217"/>
      <c r="BJ217"/>
      <c r="BK217"/>
      <c r="BL217"/>
      <c r="BM217"/>
      <c r="BN217"/>
      <c r="BO217"/>
      <c r="BP217"/>
      <c r="BQ217" s="55"/>
      <c r="BR217"/>
      <c r="BS217"/>
      <c r="BT217"/>
      <c r="BU217"/>
      <c r="BV217"/>
      <c r="BW217"/>
      <c r="BX217"/>
      <c r="BY217"/>
      <c r="BZ217"/>
      <c r="CA217"/>
      <c r="CB217"/>
      <c r="CC217"/>
      <c r="CD217"/>
      <c r="CE217"/>
      <c r="CF217"/>
      <c r="CH217" s="55"/>
      <c r="CI217"/>
      <c r="CJ217" s="16"/>
      <c r="CK217" s="16"/>
      <c r="CL217" s="28"/>
      <c r="CM217" s="28"/>
      <c r="CN217" s="28"/>
      <c r="CO217" s="28"/>
      <c r="CP217" s="28"/>
      <c r="CQ217" s="28"/>
      <c r="CR217" s="28"/>
      <c r="CS217" s="28"/>
      <c r="CT217" s="28"/>
      <c r="CU217" s="28"/>
      <c r="CV217" s="28"/>
      <c r="CW217" s="28"/>
      <c r="CX217" s="28"/>
      <c r="CY217" s="28"/>
      <c r="CZ217" s="28"/>
      <c r="DA217" s="28"/>
      <c r="DB217" s="28"/>
      <c r="DC217" s="28"/>
      <c r="DD217" s="28"/>
      <c r="DF217" s="55"/>
      <c r="DX217" s="28"/>
    </row>
    <row r="218" spans="1:128" s="19" customFormat="1" ht="16" customHeight="1">
      <c r="A218" s="18"/>
      <c r="B218" s="17"/>
      <c r="C218" s="16"/>
      <c r="D218" s="16"/>
      <c r="E218" s="16"/>
      <c r="F218" s="16"/>
      <c r="G218" s="16"/>
      <c r="H218" s="20"/>
      <c r="I218" s="20"/>
      <c r="J218" s="20"/>
      <c r="K218" s="20"/>
      <c r="L218" s="20"/>
      <c r="M218" s="20"/>
      <c r="N218" s="20"/>
      <c r="O218" s="20"/>
      <c r="P218" s="20"/>
      <c r="Q218" s="20"/>
      <c r="R218" s="20"/>
      <c r="S218" s="20"/>
      <c r="T218"/>
      <c r="U218"/>
      <c r="V218"/>
      <c r="W218"/>
      <c r="X218"/>
      <c r="Y218"/>
      <c r="Z218" s="16"/>
      <c r="AA218" s="16"/>
      <c r="AB218" s="55"/>
      <c r="AC218"/>
      <c r="AD218"/>
      <c r="AE218"/>
      <c r="AF218"/>
      <c r="AG218"/>
      <c r="AH218"/>
      <c r="AI218"/>
      <c r="AJ218"/>
      <c r="AK218"/>
      <c r="AL218"/>
      <c r="AM218"/>
      <c r="AN218"/>
      <c r="AO218"/>
      <c r="AP218"/>
      <c r="AQ218"/>
      <c r="AS218" s="55"/>
      <c r="AT218"/>
      <c r="AU218" s="41"/>
      <c r="AV218" s="16"/>
      <c r="AW218" s="16"/>
      <c r="AX218" s="16"/>
      <c r="AY218" s="16"/>
      <c r="AZ218" s="16"/>
      <c r="BA218" s="16"/>
      <c r="BB218" s="16"/>
      <c r="BC218" s="16"/>
      <c r="BD218" s="16"/>
      <c r="BE218" s="16"/>
      <c r="BF218" s="16"/>
      <c r="BG218" s="16"/>
      <c r="BH218" s="16"/>
      <c r="BI218"/>
      <c r="BJ218"/>
      <c r="BK218"/>
      <c r="BL218"/>
      <c r="BM218"/>
      <c r="BN218"/>
      <c r="BO218"/>
      <c r="BP218"/>
      <c r="BQ218" s="55"/>
      <c r="BR218"/>
      <c r="BS218"/>
      <c r="BT218"/>
      <c r="BU218"/>
      <c r="BV218"/>
      <c r="BW218"/>
      <c r="BX218"/>
      <c r="BY218"/>
      <c r="BZ218"/>
      <c r="CA218"/>
      <c r="CB218"/>
      <c r="CC218"/>
      <c r="CD218"/>
      <c r="CE218"/>
      <c r="CF218"/>
      <c r="CH218" s="55"/>
      <c r="CI218"/>
      <c r="CJ218" s="16"/>
      <c r="CK218" s="16"/>
      <c r="CL218" s="28"/>
      <c r="CM218" s="28"/>
      <c r="CN218" s="28"/>
      <c r="CO218" s="28"/>
      <c r="CP218" s="28"/>
      <c r="CQ218" s="28"/>
      <c r="CR218" s="28"/>
      <c r="CS218" s="28"/>
      <c r="CT218" s="28"/>
      <c r="CU218" s="28"/>
      <c r="CV218" s="28"/>
      <c r="CW218" s="28"/>
      <c r="CX218" s="28"/>
      <c r="CY218" s="28"/>
      <c r="CZ218" s="28"/>
      <c r="DA218" s="28"/>
      <c r="DB218" s="28"/>
      <c r="DC218" s="28"/>
      <c r="DD218" s="28"/>
      <c r="DF218" s="55"/>
      <c r="DX218" s="28"/>
    </row>
    <row r="219" spans="1:128" s="19" customFormat="1" ht="16" customHeight="1">
      <c r="A219" s="18"/>
      <c r="B219" s="17"/>
      <c r="C219" s="16"/>
      <c r="D219" s="16"/>
      <c r="E219" s="16"/>
      <c r="F219" s="16"/>
      <c r="G219" s="16"/>
      <c r="H219" s="20"/>
      <c r="I219" s="20"/>
      <c r="J219" s="20"/>
      <c r="K219" s="20"/>
      <c r="L219" s="20"/>
      <c r="M219" s="20"/>
      <c r="N219" s="20"/>
      <c r="O219" s="20"/>
      <c r="P219" s="20"/>
      <c r="Q219" s="20"/>
      <c r="R219" s="20"/>
      <c r="S219" s="20"/>
      <c r="T219"/>
      <c r="U219"/>
      <c r="V219"/>
      <c r="W219"/>
      <c r="X219"/>
      <c r="Y219"/>
      <c r="Z219" s="16"/>
      <c r="AA219" s="16"/>
      <c r="AB219" s="55"/>
      <c r="AC219"/>
      <c r="AD219"/>
      <c r="AE219"/>
      <c r="AF219"/>
      <c r="AG219"/>
      <c r="AH219"/>
      <c r="AI219"/>
      <c r="AJ219"/>
      <c r="AK219"/>
      <c r="AL219"/>
      <c r="AM219"/>
      <c r="AN219"/>
      <c r="AO219"/>
      <c r="AP219"/>
      <c r="AQ219"/>
      <c r="AS219" s="55"/>
      <c r="AT219"/>
      <c r="AU219" s="41"/>
      <c r="AV219" s="16"/>
      <c r="AW219" s="16"/>
      <c r="AX219" s="16"/>
      <c r="AY219" s="16"/>
      <c r="AZ219" s="16"/>
      <c r="BA219" s="16"/>
      <c r="BB219" s="16"/>
      <c r="BC219" s="16"/>
      <c r="BD219" s="16"/>
      <c r="BE219" s="16"/>
      <c r="BF219" s="16"/>
      <c r="BG219" s="16"/>
      <c r="BH219" s="16"/>
      <c r="BI219"/>
      <c r="BJ219"/>
      <c r="BK219"/>
      <c r="BL219"/>
      <c r="BM219"/>
      <c r="BN219"/>
      <c r="BO219"/>
      <c r="BP219"/>
      <c r="BQ219" s="55"/>
      <c r="BR219"/>
      <c r="BS219"/>
      <c r="BT219"/>
      <c r="BU219"/>
      <c r="BV219"/>
      <c r="BW219"/>
      <c r="BX219"/>
      <c r="BY219"/>
      <c r="BZ219"/>
      <c r="CA219"/>
      <c r="CB219"/>
      <c r="CC219"/>
      <c r="CD219"/>
      <c r="CE219"/>
      <c r="CF219"/>
      <c r="CH219" s="55"/>
      <c r="CI219"/>
      <c r="CJ219" s="16"/>
      <c r="CK219" s="16"/>
      <c r="CL219" s="28"/>
      <c r="CM219" s="28"/>
      <c r="CN219" s="28"/>
      <c r="CO219" s="28"/>
      <c r="CP219" s="28"/>
      <c r="CQ219" s="28"/>
      <c r="CR219" s="28"/>
      <c r="CS219" s="28"/>
      <c r="CT219" s="28"/>
      <c r="CU219" s="28"/>
      <c r="CV219" s="28"/>
      <c r="CW219" s="28"/>
      <c r="CX219" s="28"/>
      <c r="CY219" s="28"/>
      <c r="CZ219" s="28"/>
      <c r="DA219" s="28"/>
      <c r="DB219" s="28"/>
      <c r="DC219" s="28"/>
      <c r="DD219" s="28"/>
      <c r="DF219" s="55"/>
      <c r="DX219" s="28"/>
    </row>
    <row r="220" spans="1:128" s="19" customFormat="1" ht="16" customHeight="1">
      <c r="A220" s="18"/>
      <c r="B220" s="17"/>
      <c r="C220" s="16"/>
      <c r="D220" s="16"/>
      <c r="E220" s="16"/>
      <c r="F220" s="16"/>
      <c r="G220" s="16"/>
      <c r="H220" s="20"/>
      <c r="I220" s="20"/>
      <c r="J220" s="20"/>
      <c r="K220" s="20"/>
      <c r="L220" s="20"/>
      <c r="M220" s="20"/>
      <c r="N220" s="20"/>
      <c r="O220" s="20"/>
      <c r="P220" s="20"/>
      <c r="Q220" s="20"/>
      <c r="R220" s="20"/>
      <c r="S220" s="20"/>
      <c r="T220"/>
      <c r="U220"/>
      <c r="V220"/>
      <c r="W220"/>
      <c r="X220"/>
      <c r="Y220"/>
      <c r="Z220" s="16"/>
      <c r="AA220" s="16"/>
      <c r="AB220" s="55"/>
      <c r="AC220"/>
      <c r="AD220"/>
      <c r="AE220"/>
      <c r="AF220"/>
      <c r="AG220"/>
      <c r="AH220"/>
      <c r="AI220"/>
      <c r="AJ220"/>
      <c r="AK220"/>
      <c r="AL220"/>
      <c r="AM220"/>
      <c r="AN220"/>
      <c r="AO220"/>
      <c r="AP220"/>
      <c r="AQ220"/>
      <c r="AS220" s="55"/>
      <c r="AT220"/>
      <c r="AU220" s="41"/>
      <c r="AV220" s="16"/>
      <c r="AW220" s="16"/>
      <c r="AX220" s="16"/>
      <c r="AY220" s="16"/>
      <c r="AZ220" s="16"/>
      <c r="BA220" s="16"/>
      <c r="BB220" s="16"/>
      <c r="BC220" s="16"/>
      <c r="BD220" s="16"/>
      <c r="BE220" s="16"/>
      <c r="BF220" s="16"/>
      <c r="BG220" s="16"/>
      <c r="BH220" s="16"/>
      <c r="BI220"/>
      <c r="BJ220"/>
      <c r="BK220"/>
      <c r="BL220"/>
      <c r="BM220"/>
      <c r="BN220"/>
      <c r="BO220"/>
      <c r="BP220"/>
      <c r="BQ220" s="55"/>
      <c r="BR220"/>
      <c r="BS220"/>
      <c r="BT220"/>
      <c r="BU220"/>
      <c r="BV220"/>
      <c r="BW220"/>
      <c r="BX220"/>
      <c r="BY220"/>
      <c r="BZ220"/>
      <c r="CA220"/>
      <c r="CB220"/>
      <c r="CC220"/>
      <c r="CD220"/>
      <c r="CE220"/>
      <c r="CF220"/>
      <c r="CH220" s="55"/>
      <c r="CI220"/>
      <c r="CJ220" s="16"/>
      <c r="CK220" s="16"/>
      <c r="CL220" s="28"/>
      <c r="CM220" s="28"/>
      <c r="CN220" s="28"/>
      <c r="CO220" s="28"/>
      <c r="CP220" s="28"/>
      <c r="CQ220" s="28"/>
      <c r="CR220" s="28"/>
      <c r="CS220" s="28"/>
      <c r="CT220" s="28"/>
      <c r="CU220" s="28"/>
      <c r="CV220" s="28"/>
      <c r="CW220" s="28"/>
      <c r="CX220" s="28"/>
      <c r="CY220" s="28"/>
      <c r="CZ220" s="28"/>
      <c r="DA220" s="28"/>
      <c r="DB220" s="28"/>
      <c r="DC220" s="28"/>
      <c r="DD220" s="28"/>
      <c r="DF220" s="55"/>
      <c r="DX220" s="28"/>
    </row>
    <row r="221" spans="1:128" s="19" customFormat="1" ht="16" customHeight="1">
      <c r="A221" s="18"/>
      <c r="B221" s="17"/>
      <c r="C221" s="16"/>
      <c r="D221" s="16"/>
      <c r="E221" s="16"/>
      <c r="F221" s="16"/>
      <c r="G221" s="16"/>
      <c r="H221" s="20"/>
      <c r="I221" s="20"/>
      <c r="J221" s="20"/>
      <c r="K221" s="20"/>
      <c r="L221" s="20"/>
      <c r="M221" s="20"/>
      <c r="N221" s="20"/>
      <c r="O221" s="20"/>
      <c r="P221" s="20"/>
      <c r="Q221" s="20"/>
      <c r="R221" s="20"/>
      <c r="S221" s="20"/>
      <c r="T221"/>
      <c r="U221"/>
      <c r="V221"/>
      <c r="W221"/>
      <c r="X221"/>
      <c r="Y221"/>
      <c r="Z221" s="16"/>
      <c r="AA221" s="16"/>
      <c r="AB221" s="55"/>
      <c r="AC221"/>
      <c r="AD221"/>
      <c r="AE221"/>
      <c r="AF221"/>
      <c r="AG221"/>
      <c r="AH221"/>
      <c r="AI221"/>
      <c r="AJ221"/>
      <c r="AK221"/>
      <c r="AL221"/>
      <c r="AM221"/>
      <c r="AN221"/>
      <c r="AO221"/>
      <c r="AP221"/>
      <c r="AQ221"/>
      <c r="AS221" s="55"/>
      <c r="AT221"/>
      <c r="AU221" s="41"/>
      <c r="AV221" s="16"/>
      <c r="AW221" s="16"/>
      <c r="AX221" s="16"/>
      <c r="AY221" s="16"/>
      <c r="AZ221" s="16"/>
      <c r="BA221" s="16"/>
      <c r="BB221" s="16"/>
      <c r="BC221" s="16"/>
      <c r="BD221" s="16"/>
      <c r="BE221" s="16"/>
      <c r="BF221" s="16"/>
      <c r="BG221" s="16"/>
      <c r="BH221" s="16"/>
      <c r="BI221"/>
      <c r="BJ221"/>
      <c r="BK221"/>
      <c r="BL221"/>
      <c r="BM221"/>
      <c r="BN221"/>
      <c r="BO221"/>
      <c r="BP221"/>
      <c r="BQ221" s="55"/>
      <c r="BR221"/>
      <c r="BS221"/>
      <c r="BT221"/>
      <c r="BU221"/>
      <c r="BV221"/>
      <c r="BW221"/>
      <c r="BX221"/>
      <c r="BY221"/>
      <c r="BZ221"/>
      <c r="CA221"/>
      <c r="CB221"/>
      <c r="CC221"/>
      <c r="CD221"/>
      <c r="CE221"/>
      <c r="CF221"/>
      <c r="CH221" s="55"/>
      <c r="CI221"/>
      <c r="CJ221" s="16"/>
      <c r="CK221" s="16"/>
      <c r="CL221" s="28"/>
      <c r="CM221" s="28"/>
      <c r="CN221" s="28"/>
      <c r="CO221" s="28"/>
      <c r="CP221" s="28"/>
      <c r="CQ221" s="28"/>
      <c r="CR221" s="28"/>
      <c r="CS221" s="28"/>
      <c r="CT221" s="28"/>
      <c r="CU221" s="28"/>
      <c r="CV221" s="28"/>
      <c r="CW221" s="28"/>
      <c r="CX221" s="28"/>
      <c r="CY221" s="28"/>
      <c r="CZ221" s="28"/>
      <c r="DA221" s="28"/>
      <c r="DB221" s="28"/>
      <c r="DC221" s="28"/>
      <c r="DD221" s="28"/>
      <c r="DF221" s="55"/>
      <c r="DX221" s="28"/>
    </row>
    <row r="222" spans="1:128" s="19" customFormat="1" ht="16" customHeight="1">
      <c r="A222" s="18"/>
      <c r="B222" s="17"/>
      <c r="C222" s="16"/>
      <c r="D222" s="16"/>
      <c r="E222" s="16"/>
      <c r="F222" s="16"/>
      <c r="G222" s="16"/>
      <c r="H222" s="20"/>
      <c r="I222" s="20"/>
      <c r="J222" s="20"/>
      <c r="K222" s="20"/>
      <c r="L222" s="20"/>
      <c r="M222" s="20"/>
      <c r="N222" s="20"/>
      <c r="O222" s="20"/>
      <c r="P222" s="20"/>
      <c r="Q222" s="20"/>
      <c r="R222" s="20"/>
      <c r="S222" s="20"/>
      <c r="T222"/>
      <c r="U222"/>
      <c r="V222"/>
      <c r="W222"/>
      <c r="X222"/>
      <c r="Y222"/>
      <c r="Z222" s="16"/>
      <c r="AA222" s="16"/>
      <c r="AB222" s="55"/>
      <c r="AC222"/>
      <c r="AD222"/>
      <c r="AE222"/>
      <c r="AF222"/>
      <c r="AG222"/>
      <c r="AH222"/>
      <c r="AI222"/>
      <c r="AJ222"/>
      <c r="AK222"/>
      <c r="AL222"/>
      <c r="AM222"/>
      <c r="AN222"/>
      <c r="AO222"/>
      <c r="AP222"/>
      <c r="AQ222"/>
      <c r="AS222" s="55"/>
      <c r="AT222"/>
      <c r="AU222" s="41"/>
      <c r="AV222" s="16"/>
      <c r="AW222" s="16"/>
      <c r="AX222" s="16"/>
      <c r="AY222" s="16"/>
      <c r="AZ222" s="16"/>
      <c r="BA222" s="16"/>
      <c r="BB222" s="16"/>
      <c r="BC222" s="16"/>
      <c r="BD222" s="16"/>
      <c r="BE222" s="16"/>
      <c r="BF222" s="16"/>
      <c r="BG222" s="16"/>
      <c r="BH222" s="16"/>
      <c r="BI222"/>
      <c r="BJ222"/>
      <c r="BK222"/>
      <c r="BL222"/>
      <c r="BM222"/>
      <c r="BN222"/>
      <c r="BO222"/>
      <c r="BP222"/>
      <c r="BQ222" s="55"/>
      <c r="BR222"/>
      <c r="BS222"/>
      <c r="BT222"/>
      <c r="BU222"/>
      <c r="BV222"/>
      <c r="BW222"/>
      <c r="BX222"/>
      <c r="BY222"/>
      <c r="BZ222"/>
      <c r="CA222"/>
      <c r="CB222"/>
      <c r="CC222"/>
      <c r="CD222"/>
      <c r="CE222"/>
      <c r="CF222"/>
      <c r="CH222" s="55"/>
      <c r="CI222"/>
      <c r="CJ222" s="16"/>
      <c r="CK222" s="16"/>
      <c r="CL222" s="28"/>
      <c r="CM222" s="28"/>
      <c r="CN222" s="28"/>
      <c r="CO222" s="28"/>
      <c r="CP222" s="28"/>
      <c r="CQ222" s="28"/>
      <c r="CR222" s="28"/>
      <c r="CS222" s="28"/>
      <c r="CT222" s="28"/>
      <c r="CU222" s="28"/>
      <c r="CV222" s="28"/>
      <c r="CW222" s="28"/>
      <c r="CX222" s="28"/>
      <c r="CY222" s="28"/>
      <c r="CZ222" s="28"/>
      <c r="DA222" s="28"/>
      <c r="DB222" s="28"/>
      <c r="DC222" s="28"/>
      <c r="DD222" s="28"/>
      <c r="DF222" s="55"/>
      <c r="DX222" s="28"/>
    </row>
    <row r="223" spans="1:128" s="19" customFormat="1" ht="16" customHeight="1">
      <c r="A223" s="18"/>
      <c r="B223" s="17"/>
      <c r="C223" s="16"/>
      <c r="D223" s="16"/>
      <c r="E223" s="16"/>
      <c r="F223" s="16"/>
      <c r="G223" s="16"/>
      <c r="H223" s="20"/>
      <c r="I223" s="20"/>
      <c r="J223" s="20"/>
      <c r="K223" s="20"/>
      <c r="L223" s="20"/>
      <c r="M223" s="20"/>
      <c r="N223" s="20"/>
      <c r="O223" s="20"/>
      <c r="P223" s="20"/>
      <c r="Q223" s="20"/>
      <c r="R223" s="20"/>
      <c r="S223" s="20"/>
      <c r="T223"/>
      <c r="U223"/>
      <c r="V223"/>
      <c r="W223"/>
      <c r="X223"/>
      <c r="Y223"/>
      <c r="Z223" s="16"/>
      <c r="AA223" s="16"/>
      <c r="AB223" s="55"/>
      <c r="AC223"/>
      <c r="AD223"/>
      <c r="AE223"/>
      <c r="AF223"/>
      <c r="AG223"/>
      <c r="AH223"/>
      <c r="AI223"/>
      <c r="AJ223"/>
      <c r="AK223"/>
      <c r="AL223"/>
      <c r="AM223"/>
      <c r="AN223"/>
      <c r="AO223"/>
      <c r="AP223"/>
      <c r="AQ223"/>
      <c r="AS223" s="55"/>
      <c r="AT223"/>
      <c r="AU223" s="41"/>
      <c r="AV223" s="16"/>
      <c r="AW223" s="16"/>
      <c r="AX223" s="16"/>
      <c r="AY223" s="16"/>
      <c r="AZ223" s="16"/>
      <c r="BA223" s="16"/>
      <c r="BB223" s="16"/>
      <c r="BC223" s="16"/>
      <c r="BD223" s="16"/>
      <c r="BE223" s="16"/>
      <c r="BF223" s="16"/>
      <c r="BG223" s="16"/>
      <c r="BH223" s="16"/>
      <c r="BI223"/>
      <c r="BJ223"/>
      <c r="BK223"/>
      <c r="BL223"/>
      <c r="BM223"/>
      <c r="BN223"/>
      <c r="BO223"/>
      <c r="BP223"/>
      <c r="BQ223" s="55"/>
      <c r="BR223"/>
      <c r="BS223"/>
      <c r="BT223"/>
      <c r="BU223"/>
      <c r="BV223"/>
      <c r="BW223"/>
      <c r="BX223"/>
      <c r="BY223"/>
      <c r="BZ223"/>
      <c r="CA223"/>
      <c r="CB223"/>
      <c r="CC223"/>
      <c r="CD223"/>
      <c r="CE223"/>
      <c r="CF223"/>
      <c r="CH223" s="55"/>
      <c r="CI223"/>
      <c r="CJ223" s="16"/>
      <c r="CK223" s="16"/>
      <c r="CL223" s="28"/>
      <c r="CM223" s="28"/>
      <c r="CN223" s="28"/>
      <c r="CO223" s="28"/>
      <c r="CP223" s="28"/>
      <c r="CQ223" s="28"/>
      <c r="CR223" s="28"/>
      <c r="CS223" s="28"/>
      <c r="CT223" s="28"/>
      <c r="CU223" s="28"/>
      <c r="CV223" s="28"/>
      <c r="CW223" s="28"/>
      <c r="CX223" s="28"/>
      <c r="CY223" s="28"/>
      <c r="CZ223" s="28"/>
      <c r="DA223" s="28"/>
      <c r="DB223" s="28"/>
      <c r="DC223" s="28"/>
      <c r="DD223" s="28"/>
      <c r="DF223" s="55"/>
      <c r="DX223" s="28"/>
    </row>
    <row r="224" spans="1:128" s="19" customFormat="1" ht="16" customHeight="1">
      <c r="A224" s="18"/>
      <c r="B224" s="17"/>
      <c r="C224" s="16"/>
      <c r="D224" s="16"/>
      <c r="E224" s="16"/>
      <c r="F224" s="16"/>
      <c r="G224" s="16"/>
      <c r="H224" s="20"/>
      <c r="I224" s="20"/>
      <c r="J224" s="20"/>
      <c r="K224" s="20"/>
      <c r="L224" s="20"/>
      <c r="M224" s="20"/>
      <c r="N224" s="20"/>
      <c r="O224" s="20"/>
      <c r="P224" s="20"/>
      <c r="Q224" s="20"/>
      <c r="R224" s="20"/>
      <c r="S224" s="20"/>
      <c r="T224"/>
      <c r="U224"/>
      <c r="V224"/>
      <c r="W224"/>
      <c r="X224"/>
      <c r="Y224"/>
      <c r="Z224" s="16"/>
      <c r="AA224" s="16"/>
      <c r="AB224" s="55"/>
      <c r="AC224"/>
      <c r="AD224"/>
      <c r="AE224"/>
      <c r="AF224"/>
      <c r="AG224"/>
      <c r="AH224"/>
      <c r="AI224"/>
      <c r="AJ224"/>
      <c r="AK224"/>
      <c r="AL224"/>
      <c r="AM224"/>
      <c r="AN224"/>
      <c r="AO224"/>
      <c r="AP224"/>
      <c r="AQ224"/>
      <c r="AS224" s="55"/>
      <c r="AT224"/>
      <c r="AU224" s="41"/>
      <c r="AV224" s="16"/>
      <c r="AW224" s="16"/>
      <c r="AX224" s="16"/>
      <c r="AY224" s="16"/>
      <c r="AZ224" s="16"/>
      <c r="BA224" s="16"/>
      <c r="BB224" s="16"/>
      <c r="BC224" s="16"/>
      <c r="BD224" s="16"/>
      <c r="BE224" s="16"/>
      <c r="BF224" s="16"/>
      <c r="BG224" s="16"/>
      <c r="BH224" s="16"/>
      <c r="BI224"/>
      <c r="BJ224"/>
      <c r="BK224"/>
      <c r="BL224"/>
      <c r="BM224"/>
      <c r="BN224"/>
      <c r="BO224"/>
      <c r="BP224"/>
      <c r="BQ224" s="55"/>
      <c r="BR224"/>
      <c r="BS224"/>
      <c r="BT224"/>
      <c r="BU224"/>
      <c r="BV224"/>
      <c r="BW224"/>
      <c r="BX224"/>
      <c r="BY224"/>
      <c r="BZ224"/>
      <c r="CA224"/>
      <c r="CB224"/>
      <c r="CC224"/>
      <c r="CD224"/>
      <c r="CE224"/>
      <c r="CF224"/>
      <c r="CH224" s="55"/>
      <c r="CI224"/>
      <c r="CJ224" s="16"/>
      <c r="CK224" s="16"/>
      <c r="CL224" s="28"/>
      <c r="CM224" s="28"/>
      <c r="CN224" s="28"/>
      <c r="CO224" s="28"/>
      <c r="CP224" s="28"/>
      <c r="CQ224" s="28"/>
      <c r="CR224" s="28"/>
      <c r="CS224" s="28"/>
      <c r="CT224" s="28"/>
      <c r="CU224" s="28"/>
      <c r="CV224" s="28"/>
      <c r="CW224" s="28"/>
      <c r="CX224" s="28"/>
      <c r="CY224" s="28"/>
      <c r="CZ224" s="28"/>
      <c r="DA224" s="28"/>
      <c r="DB224" s="28"/>
      <c r="DC224" s="28"/>
      <c r="DD224" s="28"/>
      <c r="DF224" s="55"/>
      <c r="DX224" s="28"/>
    </row>
    <row r="225" spans="1:128" s="19" customFormat="1" ht="16" customHeight="1">
      <c r="A225" s="18"/>
      <c r="B225" s="17"/>
      <c r="C225" s="16"/>
      <c r="D225" s="16"/>
      <c r="E225" s="16"/>
      <c r="F225" s="16"/>
      <c r="G225" s="16"/>
      <c r="H225" s="20"/>
      <c r="I225" s="20"/>
      <c r="J225" s="20"/>
      <c r="K225" s="20"/>
      <c r="L225" s="20"/>
      <c r="M225" s="20"/>
      <c r="N225" s="20"/>
      <c r="O225" s="20"/>
      <c r="P225" s="20"/>
      <c r="Q225" s="20"/>
      <c r="R225" s="20"/>
      <c r="S225" s="20"/>
      <c r="T225"/>
      <c r="U225"/>
      <c r="V225"/>
      <c r="W225"/>
      <c r="X225"/>
      <c r="Y225"/>
      <c r="Z225" s="16"/>
      <c r="AA225" s="16"/>
      <c r="AB225" s="55"/>
      <c r="AC225"/>
      <c r="AD225"/>
      <c r="AE225"/>
      <c r="AF225"/>
      <c r="AG225"/>
      <c r="AH225"/>
      <c r="AI225"/>
      <c r="AJ225"/>
      <c r="AK225"/>
      <c r="AL225"/>
      <c r="AM225"/>
      <c r="AN225"/>
      <c r="AO225"/>
      <c r="AP225"/>
      <c r="AQ225"/>
      <c r="AS225" s="55"/>
      <c r="AT225"/>
      <c r="AU225" s="41"/>
      <c r="AV225" s="16"/>
      <c r="AW225" s="16"/>
      <c r="AX225" s="16"/>
      <c r="AY225" s="16"/>
      <c r="AZ225" s="16"/>
      <c r="BA225" s="16"/>
      <c r="BB225" s="16"/>
      <c r="BC225" s="16"/>
      <c r="BD225" s="16"/>
      <c r="BE225" s="16"/>
      <c r="BF225" s="16"/>
      <c r="BG225" s="16"/>
      <c r="BH225" s="16"/>
      <c r="BI225"/>
      <c r="BJ225"/>
      <c r="BK225"/>
      <c r="BL225"/>
      <c r="BM225"/>
      <c r="BN225"/>
      <c r="BO225"/>
      <c r="BP225"/>
      <c r="BQ225" s="55"/>
      <c r="BR225"/>
      <c r="BS225"/>
      <c r="BT225"/>
      <c r="BU225"/>
      <c r="BV225"/>
      <c r="BW225"/>
      <c r="BX225"/>
      <c r="BY225"/>
      <c r="BZ225"/>
      <c r="CA225"/>
      <c r="CB225"/>
      <c r="CC225"/>
      <c r="CD225"/>
      <c r="CE225"/>
      <c r="CF225"/>
      <c r="CH225" s="55"/>
      <c r="CI225"/>
      <c r="CJ225" s="16"/>
      <c r="CK225" s="16"/>
      <c r="CL225" s="28"/>
      <c r="CM225" s="28"/>
      <c r="CN225" s="28"/>
      <c r="CO225" s="28"/>
      <c r="CP225" s="28"/>
      <c r="CQ225" s="28"/>
      <c r="CR225" s="28"/>
      <c r="CS225" s="28"/>
      <c r="CT225" s="28"/>
      <c r="CU225" s="28"/>
      <c r="CV225" s="28"/>
      <c r="CW225" s="28"/>
      <c r="CX225" s="28"/>
      <c r="CY225" s="28"/>
      <c r="CZ225" s="28"/>
      <c r="DA225" s="28"/>
      <c r="DB225" s="28"/>
      <c r="DC225" s="28"/>
      <c r="DD225" s="28"/>
      <c r="DF225" s="55"/>
      <c r="DX225" s="28"/>
    </row>
    <row r="226" spans="1:128" s="19" customFormat="1" ht="16" customHeight="1">
      <c r="A226" s="18"/>
      <c r="B226" s="17"/>
      <c r="C226" s="16"/>
      <c r="D226" s="16"/>
      <c r="E226" s="16"/>
      <c r="F226" s="16"/>
      <c r="G226" s="16"/>
      <c r="H226" s="20"/>
      <c r="I226" s="20"/>
      <c r="J226" s="20"/>
      <c r="K226" s="20"/>
      <c r="L226" s="20"/>
      <c r="M226" s="20"/>
      <c r="N226" s="20"/>
      <c r="O226" s="20"/>
      <c r="P226" s="20"/>
      <c r="Q226" s="20"/>
      <c r="R226" s="20"/>
      <c r="S226" s="20"/>
      <c r="T226"/>
      <c r="U226"/>
      <c r="V226"/>
      <c r="W226"/>
      <c r="X226"/>
      <c r="Y226"/>
      <c r="Z226" s="16"/>
      <c r="AA226" s="16"/>
      <c r="AB226" s="55"/>
      <c r="AC226"/>
      <c r="AD226"/>
      <c r="AE226"/>
      <c r="AF226"/>
      <c r="AG226"/>
      <c r="AH226"/>
      <c r="AI226"/>
      <c r="AJ226"/>
      <c r="AK226"/>
      <c r="AL226"/>
      <c r="AM226"/>
      <c r="AN226"/>
      <c r="AO226"/>
      <c r="AP226"/>
      <c r="AQ226"/>
      <c r="AS226" s="55"/>
      <c r="AT226"/>
      <c r="AU226" s="41"/>
      <c r="AV226" s="16"/>
      <c r="AW226" s="16"/>
      <c r="AX226" s="16"/>
      <c r="AY226" s="16"/>
      <c r="AZ226" s="16"/>
      <c r="BA226" s="16"/>
      <c r="BB226" s="16"/>
      <c r="BC226" s="16"/>
      <c r="BD226" s="16"/>
      <c r="BE226" s="16"/>
      <c r="BF226" s="16"/>
      <c r="BG226" s="16"/>
      <c r="BH226" s="16"/>
      <c r="BI226"/>
      <c r="BJ226"/>
      <c r="BK226"/>
      <c r="BL226"/>
      <c r="BM226"/>
      <c r="BN226"/>
      <c r="BO226"/>
      <c r="BP226"/>
      <c r="BQ226" s="55"/>
      <c r="BR226"/>
      <c r="BS226"/>
      <c r="BT226"/>
      <c r="BU226"/>
      <c r="BV226"/>
      <c r="BW226"/>
      <c r="BX226"/>
      <c r="BY226"/>
      <c r="BZ226"/>
      <c r="CA226"/>
      <c r="CB226"/>
      <c r="CC226"/>
      <c r="CD226"/>
      <c r="CE226"/>
      <c r="CF226"/>
      <c r="CH226" s="55"/>
      <c r="CI226"/>
      <c r="CJ226" s="16"/>
      <c r="CK226" s="16"/>
      <c r="CL226" s="28"/>
      <c r="CM226" s="28"/>
      <c r="CN226" s="28"/>
      <c r="CO226" s="28"/>
      <c r="CP226" s="28"/>
      <c r="CQ226" s="28"/>
      <c r="CR226" s="28"/>
      <c r="CS226" s="28"/>
      <c r="CT226" s="28"/>
      <c r="CU226" s="28"/>
      <c r="CV226" s="28"/>
      <c r="CW226" s="28"/>
      <c r="CX226" s="28"/>
      <c r="CY226" s="28"/>
      <c r="CZ226" s="28"/>
      <c r="DA226" s="28"/>
      <c r="DB226" s="28"/>
      <c r="DC226" s="28"/>
      <c r="DD226" s="28"/>
      <c r="DF226" s="55"/>
      <c r="DX226" s="28"/>
    </row>
    <row r="227" spans="1:128" s="19" customFormat="1" ht="16" customHeight="1">
      <c r="A227" s="18"/>
      <c r="B227" s="17"/>
      <c r="C227" s="16"/>
      <c r="D227" s="16"/>
      <c r="E227" s="16"/>
      <c r="F227" s="16"/>
      <c r="G227" s="16"/>
      <c r="H227" s="20"/>
      <c r="I227" s="20"/>
      <c r="J227" s="20"/>
      <c r="K227" s="20"/>
      <c r="L227" s="20"/>
      <c r="M227" s="20"/>
      <c r="N227" s="20"/>
      <c r="O227" s="20"/>
      <c r="P227" s="20"/>
      <c r="Q227" s="20"/>
      <c r="R227" s="20"/>
      <c r="S227" s="20"/>
      <c r="T227"/>
      <c r="U227"/>
      <c r="V227"/>
      <c r="W227"/>
      <c r="X227"/>
      <c r="Y227"/>
      <c r="Z227" s="16"/>
      <c r="AA227" s="16"/>
      <c r="AB227" s="55"/>
      <c r="AC227"/>
      <c r="AD227"/>
      <c r="AE227"/>
      <c r="AF227"/>
      <c r="AG227"/>
      <c r="AH227"/>
      <c r="AI227"/>
      <c r="AJ227"/>
      <c r="AK227"/>
      <c r="AL227"/>
      <c r="AM227"/>
      <c r="AN227"/>
      <c r="AO227"/>
      <c r="AP227"/>
      <c r="AQ227"/>
      <c r="AS227" s="55"/>
      <c r="AT227"/>
      <c r="AU227" s="41"/>
      <c r="AV227" s="16"/>
      <c r="AW227" s="16"/>
      <c r="AX227" s="16"/>
      <c r="AY227" s="16"/>
      <c r="AZ227" s="16"/>
      <c r="BA227" s="16"/>
      <c r="BB227" s="16"/>
      <c r="BC227" s="16"/>
      <c r="BD227" s="16"/>
      <c r="BE227" s="16"/>
      <c r="BF227" s="16"/>
      <c r="BG227" s="16"/>
      <c r="BH227" s="16"/>
      <c r="BI227"/>
      <c r="BJ227"/>
      <c r="BK227"/>
      <c r="BL227"/>
      <c r="BM227"/>
      <c r="BN227"/>
      <c r="BO227"/>
      <c r="BP227"/>
      <c r="BQ227" s="55"/>
      <c r="BR227"/>
      <c r="BS227"/>
      <c r="BT227"/>
      <c r="BU227"/>
      <c r="BV227"/>
      <c r="BW227"/>
      <c r="BX227"/>
      <c r="BY227"/>
      <c r="BZ227"/>
      <c r="CA227"/>
      <c r="CB227"/>
      <c r="CC227"/>
      <c r="CD227"/>
      <c r="CE227"/>
      <c r="CF227"/>
      <c r="CH227" s="55"/>
      <c r="CI227"/>
      <c r="CJ227" s="16"/>
      <c r="CK227" s="16"/>
      <c r="CL227" s="28"/>
      <c r="CM227" s="28"/>
      <c r="CN227" s="28"/>
      <c r="CO227" s="28"/>
      <c r="CP227" s="28"/>
      <c r="CQ227" s="28"/>
      <c r="CR227" s="28"/>
      <c r="CS227" s="28"/>
      <c r="CT227" s="28"/>
      <c r="CU227" s="28"/>
      <c r="CV227" s="28"/>
      <c r="CW227" s="28"/>
      <c r="CX227" s="28"/>
      <c r="CY227" s="28"/>
      <c r="CZ227" s="28"/>
      <c r="DA227" s="28"/>
      <c r="DB227" s="28"/>
      <c r="DC227" s="28"/>
      <c r="DD227" s="28"/>
      <c r="DF227" s="55"/>
      <c r="DX227" s="28"/>
    </row>
    <row r="228" spans="1:128" s="19" customFormat="1" ht="16" customHeight="1">
      <c r="A228" s="18"/>
      <c r="B228" s="17"/>
      <c r="C228" s="16"/>
      <c r="D228" s="16"/>
      <c r="E228" s="16"/>
      <c r="F228" s="16"/>
      <c r="G228" s="16"/>
      <c r="H228" s="20"/>
      <c r="I228" s="20"/>
      <c r="J228" s="20"/>
      <c r="K228" s="20"/>
      <c r="L228" s="20"/>
      <c r="M228" s="20"/>
      <c r="N228" s="20"/>
      <c r="O228" s="20"/>
      <c r="P228" s="20"/>
      <c r="Q228" s="20"/>
      <c r="R228" s="20"/>
      <c r="S228" s="20"/>
      <c r="T228"/>
      <c r="U228"/>
      <c r="V228"/>
      <c r="W228"/>
      <c r="X228"/>
      <c r="Y228"/>
      <c r="Z228" s="16"/>
      <c r="AA228" s="16"/>
      <c r="AB228" s="55"/>
      <c r="AC228"/>
      <c r="AD228"/>
      <c r="AE228"/>
      <c r="AF228"/>
      <c r="AG228"/>
      <c r="AH228"/>
      <c r="AI228"/>
      <c r="AJ228"/>
      <c r="AK228"/>
      <c r="AL228"/>
      <c r="AM228"/>
      <c r="AN228"/>
      <c r="AO228"/>
      <c r="AP228"/>
      <c r="AQ228"/>
      <c r="AS228" s="55"/>
      <c r="AT228"/>
      <c r="AU228" s="41"/>
      <c r="AV228" s="16"/>
      <c r="AW228" s="16"/>
      <c r="AX228" s="16"/>
      <c r="AY228" s="16"/>
      <c r="AZ228" s="16"/>
      <c r="BA228" s="16"/>
      <c r="BB228" s="16"/>
      <c r="BC228" s="16"/>
      <c r="BD228" s="16"/>
      <c r="BE228" s="16"/>
      <c r="BF228" s="16"/>
      <c r="BG228" s="16"/>
      <c r="BH228" s="16"/>
      <c r="BI228"/>
      <c r="BJ228"/>
      <c r="BK228"/>
      <c r="BL228"/>
      <c r="BM228"/>
      <c r="BN228"/>
      <c r="BO228"/>
      <c r="BP228"/>
      <c r="BQ228" s="55"/>
      <c r="BR228"/>
      <c r="BS228"/>
      <c r="BT228"/>
      <c r="BU228"/>
      <c r="BV228"/>
      <c r="BW228"/>
      <c r="BX228"/>
      <c r="BY228"/>
      <c r="BZ228"/>
      <c r="CA228"/>
      <c r="CB228"/>
      <c r="CC228"/>
      <c r="CD228"/>
      <c r="CE228"/>
      <c r="CF228"/>
      <c r="CH228" s="55"/>
      <c r="CI228"/>
      <c r="CJ228" s="16"/>
      <c r="CK228" s="16"/>
      <c r="CL228" s="28"/>
      <c r="CM228" s="28"/>
      <c r="CN228" s="28"/>
      <c r="CO228" s="28"/>
      <c r="CP228" s="28"/>
      <c r="CQ228" s="28"/>
      <c r="CR228" s="28"/>
      <c r="CS228" s="28"/>
      <c r="CT228" s="28"/>
      <c r="CU228" s="28"/>
      <c r="CV228" s="28"/>
      <c r="CW228" s="28"/>
      <c r="CX228" s="28"/>
      <c r="CY228" s="28"/>
      <c r="CZ228" s="28"/>
      <c r="DA228" s="28"/>
      <c r="DB228" s="28"/>
      <c r="DC228" s="28"/>
      <c r="DD228" s="28"/>
      <c r="DF228" s="55"/>
      <c r="DX228" s="28"/>
    </row>
    <row r="229" spans="1:128" s="19" customFormat="1" ht="16" customHeight="1">
      <c r="A229" s="18"/>
      <c r="B229" s="17"/>
      <c r="C229" s="16"/>
      <c r="D229" s="16"/>
      <c r="E229" s="16"/>
      <c r="F229" s="16"/>
      <c r="G229" s="16"/>
      <c r="H229" s="20"/>
      <c r="I229" s="20"/>
      <c r="J229" s="20"/>
      <c r="K229" s="20"/>
      <c r="L229" s="20"/>
      <c r="M229" s="20"/>
      <c r="N229" s="20"/>
      <c r="O229" s="20"/>
      <c r="P229" s="20"/>
      <c r="Q229" s="20"/>
      <c r="R229" s="20"/>
      <c r="S229" s="20"/>
      <c r="T229"/>
      <c r="U229"/>
      <c r="V229"/>
      <c r="W229"/>
      <c r="X229"/>
      <c r="Y229"/>
      <c r="Z229" s="16"/>
      <c r="AA229" s="16"/>
      <c r="AB229" s="55"/>
      <c r="AC229"/>
      <c r="AD229"/>
      <c r="AE229"/>
      <c r="AF229"/>
      <c r="AG229"/>
      <c r="AH229"/>
      <c r="AI229"/>
      <c r="AJ229"/>
      <c r="AK229"/>
      <c r="AL229"/>
      <c r="AM229"/>
      <c r="AN229"/>
      <c r="AO229"/>
      <c r="AP229"/>
      <c r="AQ229"/>
      <c r="AS229" s="55"/>
      <c r="AT229"/>
      <c r="AU229" s="41"/>
      <c r="AV229" s="16"/>
      <c r="AW229" s="16"/>
      <c r="AX229" s="16"/>
      <c r="AY229" s="16"/>
      <c r="AZ229" s="16"/>
      <c r="BA229" s="16"/>
      <c r="BB229" s="16"/>
      <c r="BC229" s="16"/>
      <c r="BD229" s="16"/>
      <c r="BE229" s="16"/>
      <c r="BF229" s="16"/>
      <c r="BG229" s="16"/>
      <c r="BH229" s="16"/>
      <c r="BI229"/>
      <c r="BJ229"/>
      <c r="BK229"/>
      <c r="BL229"/>
      <c r="BM229"/>
      <c r="BN229"/>
      <c r="BO229"/>
      <c r="BP229"/>
      <c r="BQ229" s="55"/>
      <c r="BR229"/>
      <c r="BS229"/>
      <c r="BT229"/>
      <c r="BU229"/>
      <c r="BV229"/>
      <c r="BW229"/>
      <c r="BX229"/>
      <c r="BY229"/>
      <c r="BZ229"/>
      <c r="CA229"/>
      <c r="CB229"/>
      <c r="CC229"/>
      <c r="CD229"/>
      <c r="CE229"/>
      <c r="CF229"/>
      <c r="CH229" s="55"/>
      <c r="CI229"/>
      <c r="CJ229" s="16"/>
      <c r="CK229" s="16"/>
      <c r="CL229" s="28"/>
      <c r="CM229" s="28"/>
      <c r="CN229" s="28"/>
      <c r="CO229" s="28"/>
      <c r="CP229" s="28"/>
      <c r="CQ229" s="28"/>
      <c r="CR229" s="28"/>
      <c r="CS229" s="28"/>
      <c r="CT229" s="28"/>
      <c r="CU229" s="28"/>
      <c r="CV229" s="28"/>
      <c r="CW229" s="28"/>
      <c r="CX229" s="28"/>
      <c r="CY229" s="28"/>
      <c r="CZ229" s="28"/>
      <c r="DA229" s="28"/>
      <c r="DB229" s="28"/>
      <c r="DC229" s="28"/>
      <c r="DD229" s="28"/>
      <c r="DF229" s="55"/>
      <c r="DX229" s="28"/>
    </row>
    <row r="230" spans="1:128" s="19" customFormat="1" ht="16" customHeight="1">
      <c r="A230" s="18"/>
      <c r="B230" s="17"/>
      <c r="C230" s="16"/>
      <c r="D230" s="16"/>
      <c r="E230" s="16"/>
      <c r="F230" s="16"/>
      <c r="G230" s="16"/>
      <c r="H230" s="20"/>
      <c r="I230" s="20"/>
      <c r="J230" s="20"/>
      <c r="K230" s="20"/>
      <c r="L230" s="20"/>
      <c r="M230" s="20"/>
      <c r="N230" s="20"/>
      <c r="O230" s="20"/>
      <c r="P230" s="20"/>
      <c r="Q230" s="20"/>
      <c r="R230" s="20"/>
      <c r="S230" s="20"/>
      <c r="T230"/>
      <c r="U230"/>
      <c r="V230"/>
      <c r="W230"/>
      <c r="X230"/>
      <c r="Y230"/>
      <c r="Z230" s="16"/>
      <c r="AA230" s="16"/>
      <c r="AB230" s="55"/>
      <c r="AC230"/>
      <c r="AD230"/>
      <c r="AE230"/>
      <c r="AF230"/>
      <c r="AG230"/>
      <c r="AH230"/>
      <c r="AI230"/>
      <c r="AJ230"/>
      <c r="AK230"/>
      <c r="AL230"/>
      <c r="AM230"/>
      <c r="AN230"/>
      <c r="AO230"/>
      <c r="AP230"/>
      <c r="AQ230"/>
      <c r="AS230" s="55"/>
      <c r="AT230"/>
      <c r="AU230" s="41"/>
      <c r="AV230" s="16"/>
      <c r="AW230" s="16"/>
      <c r="AX230" s="16"/>
      <c r="AY230" s="16"/>
      <c r="AZ230" s="16"/>
      <c r="BA230" s="16"/>
      <c r="BB230" s="16"/>
      <c r="BC230" s="16"/>
      <c r="BD230" s="16"/>
      <c r="BE230" s="16"/>
      <c r="BF230" s="16"/>
      <c r="BG230" s="16"/>
      <c r="BH230" s="16"/>
      <c r="BI230"/>
      <c r="BJ230"/>
      <c r="BK230"/>
      <c r="BL230"/>
      <c r="BM230"/>
      <c r="BN230"/>
      <c r="BO230"/>
      <c r="BP230"/>
      <c r="BQ230" s="55"/>
      <c r="BR230"/>
      <c r="BS230"/>
      <c r="BT230"/>
      <c r="BU230"/>
      <c r="BV230"/>
      <c r="BW230"/>
      <c r="BX230"/>
      <c r="BY230"/>
      <c r="BZ230"/>
      <c r="CA230"/>
      <c r="CB230"/>
      <c r="CC230"/>
      <c r="CD230"/>
      <c r="CE230"/>
      <c r="CF230"/>
      <c r="CH230" s="55"/>
      <c r="CI230"/>
      <c r="CJ230" s="16"/>
      <c r="CK230" s="16"/>
      <c r="CL230" s="28"/>
      <c r="CM230" s="28"/>
      <c r="CN230" s="28"/>
      <c r="CO230" s="28"/>
      <c r="CP230" s="28"/>
      <c r="CQ230" s="28"/>
      <c r="CR230" s="28"/>
      <c r="CS230" s="28"/>
      <c r="CT230" s="28"/>
      <c r="CU230" s="28"/>
      <c r="CV230" s="28"/>
      <c r="CW230" s="28"/>
      <c r="CX230" s="28"/>
      <c r="CY230" s="28"/>
      <c r="CZ230" s="28"/>
      <c r="DA230" s="28"/>
      <c r="DB230" s="28"/>
      <c r="DC230" s="28"/>
      <c r="DD230" s="28"/>
      <c r="DF230" s="55"/>
      <c r="DX230" s="28"/>
    </row>
    <row r="231" spans="1:128" s="19" customFormat="1" ht="16" customHeight="1">
      <c r="A231" s="18"/>
      <c r="B231" s="17"/>
      <c r="C231" s="16"/>
      <c r="D231" s="16"/>
      <c r="E231" s="16"/>
      <c r="F231" s="16"/>
      <c r="G231" s="16"/>
      <c r="H231" s="20"/>
      <c r="I231" s="20"/>
      <c r="J231" s="20"/>
      <c r="K231" s="20"/>
      <c r="L231" s="20"/>
      <c r="M231" s="20"/>
      <c r="N231" s="20"/>
      <c r="O231" s="20"/>
      <c r="P231" s="20"/>
      <c r="Q231" s="20"/>
      <c r="R231" s="20"/>
      <c r="S231" s="20"/>
      <c r="T231"/>
      <c r="U231"/>
      <c r="V231"/>
      <c r="W231"/>
      <c r="X231"/>
      <c r="Y231"/>
      <c r="Z231" s="16"/>
      <c r="AA231" s="16"/>
      <c r="AB231" s="55"/>
      <c r="AC231"/>
      <c r="AD231"/>
      <c r="AE231"/>
      <c r="AF231"/>
      <c r="AG231"/>
      <c r="AH231"/>
      <c r="AI231"/>
      <c r="AJ231"/>
      <c r="AK231"/>
      <c r="AL231"/>
      <c r="AM231"/>
      <c r="AN231"/>
      <c r="AO231"/>
      <c r="AP231"/>
      <c r="AQ231"/>
      <c r="AS231" s="55"/>
      <c r="AT231"/>
      <c r="AU231" s="41"/>
      <c r="AV231" s="16"/>
      <c r="AW231" s="16"/>
      <c r="AX231" s="16"/>
      <c r="AY231" s="16"/>
      <c r="AZ231" s="16"/>
      <c r="BA231" s="16"/>
      <c r="BB231" s="16"/>
      <c r="BC231" s="16"/>
      <c r="BD231" s="16"/>
      <c r="BE231" s="16"/>
      <c r="BF231" s="16"/>
      <c r="BG231" s="16"/>
      <c r="BH231" s="16"/>
      <c r="BI231"/>
      <c r="BJ231"/>
      <c r="BK231"/>
      <c r="BL231"/>
      <c r="BM231"/>
      <c r="BN231"/>
      <c r="BO231"/>
      <c r="BP231"/>
      <c r="BQ231" s="55"/>
      <c r="BR231"/>
      <c r="BS231"/>
      <c r="BT231"/>
      <c r="BU231"/>
      <c r="BV231"/>
      <c r="BW231"/>
      <c r="BX231"/>
      <c r="BY231"/>
      <c r="BZ231"/>
      <c r="CA231"/>
      <c r="CB231"/>
      <c r="CC231"/>
      <c r="CD231"/>
      <c r="CE231"/>
      <c r="CF231"/>
      <c r="CH231" s="55"/>
      <c r="CI231"/>
      <c r="CJ231" s="16"/>
      <c r="CK231" s="16"/>
      <c r="CL231" s="28"/>
      <c r="CM231" s="28"/>
      <c r="CN231" s="28"/>
      <c r="CO231" s="28"/>
      <c r="CP231" s="28"/>
      <c r="CQ231" s="28"/>
      <c r="CR231" s="28"/>
      <c r="CS231" s="28"/>
      <c r="CT231" s="28"/>
      <c r="CU231" s="28"/>
      <c r="CV231" s="28"/>
      <c r="CW231" s="28"/>
      <c r="CX231" s="28"/>
      <c r="CY231" s="28"/>
      <c r="CZ231" s="28"/>
      <c r="DA231" s="28"/>
      <c r="DB231" s="28"/>
      <c r="DC231" s="28"/>
      <c r="DD231" s="28"/>
      <c r="DF231" s="55"/>
      <c r="DX231" s="28"/>
    </row>
    <row r="232" spans="1:128" s="19" customFormat="1" ht="16" customHeight="1">
      <c r="A232" s="18"/>
      <c r="B232" s="17"/>
      <c r="C232" s="16"/>
      <c r="D232" s="16"/>
      <c r="E232" s="16"/>
      <c r="F232" s="16"/>
      <c r="G232" s="16"/>
      <c r="H232" s="20"/>
      <c r="I232" s="20"/>
      <c r="J232" s="20"/>
      <c r="K232" s="20"/>
      <c r="L232" s="20"/>
      <c r="M232" s="20"/>
      <c r="N232" s="20"/>
      <c r="O232" s="20"/>
      <c r="P232" s="20"/>
      <c r="Q232" s="20"/>
      <c r="R232" s="20"/>
      <c r="S232" s="20"/>
      <c r="T232"/>
      <c r="U232"/>
      <c r="V232"/>
      <c r="W232"/>
      <c r="X232"/>
      <c r="Y232"/>
      <c r="Z232" s="16"/>
      <c r="AA232" s="16"/>
      <c r="AB232" s="55"/>
      <c r="AC232"/>
      <c r="AD232"/>
      <c r="AE232"/>
      <c r="AF232"/>
      <c r="AG232"/>
      <c r="AH232"/>
      <c r="AI232"/>
      <c r="AJ232"/>
      <c r="AK232"/>
      <c r="AL232"/>
      <c r="AM232"/>
      <c r="AN232"/>
      <c r="AO232"/>
      <c r="AP232"/>
      <c r="AQ232"/>
      <c r="AS232" s="55"/>
      <c r="AT232"/>
      <c r="AU232" s="41"/>
      <c r="AV232" s="16"/>
      <c r="AW232" s="16"/>
      <c r="AX232" s="16"/>
      <c r="AY232" s="16"/>
      <c r="AZ232" s="16"/>
      <c r="BA232" s="16"/>
      <c r="BB232" s="16"/>
      <c r="BC232" s="16"/>
      <c r="BD232" s="16"/>
      <c r="BE232" s="16"/>
      <c r="BF232" s="16"/>
      <c r="BG232" s="16"/>
      <c r="BH232" s="16"/>
      <c r="BI232"/>
      <c r="BJ232"/>
      <c r="BK232"/>
      <c r="BL232"/>
      <c r="BM232"/>
      <c r="BN232"/>
      <c r="BO232"/>
      <c r="BP232"/>
      <c r="BQ232" s="55"/>
      <c r="BR232"/>
      <c r="BS232"/>
      <c r="BT232"/>
      <c r="BU232"/>
      <c r="BV232"/>
      <c r="BW232"/>
      <c r="BX232"/>
      <c r="BY232"/>
      <c r="BZ232"/>
      <c r="CA232"/>
      <c r="CB232"/>
      <c r="CC232"/>
      <c r="CD232"/>
      <c r="CE232"/>
      <c r="CF232"/>
      <c r="CH232" s="55"/>
      <c r="CI232"/>
      <c r="CJ232" s="16"/>
      <c r="CK232" s="16"/>
      <c r="CL232" s="28"/>
      <c r="CM232" s="28"/>
      <c r="CN232" s="28"/>
      <c r="CO232" s="28"/>
      <c r="CP232" s="28"/>
      <c r="CQ232" s="28"/>
      <c r="CR232" s="28"/>
      <c r="CS232" s="28"/>
      <c r="CT232" s="28"/>
      <c r="CU232" s="28"/>
      <c r="CV232" s="28"/>
      <c r="CW232" s="28"/>
      <c r="CX232" s="28"/>
      <c r="CY232" s="28"/>
      <c r="CZ232" s="28"/>
      <c r="DA232" s="28"/>
      <c r="DB232" s="28"/>
      <c r="DC232" s="28"/>
      <c r="DD232" s="28"/>
      <c r="DF232" s="55"/>
      <c r="DX232" s="28"/>
    </row>
    <row r="233" spans="1:128" s="19" customFormat="1" ht="16" customHeight="1">
      <c r="A233" s="18"/>
      <c r="B233" s="17"/>
      <c r="C233" s="16"/>
      <c r="D233" s="16"/>
      <c r="E233" s="16"/>
      <c r="F233" s="16"/>
      <c r="G233" s="16"/>
      <c r="H233" s="20"/>
      <c r="I233" s="20"/>
      <c r="J233" s="20"/>
      <c r="K233" s="20"/>
      <c r="L233" s="20"/>
      <c r="M233" s="20"/>
      <c r="N233" s="20"/>
      <c r="O233" s="20"/>
      <c r="P233" s="20"/>
      <c r="Q233" s="20"/>
      <c r="R233" s="20"/>
      <c r="S233" s="20"/>
      <c r="T233"/>
      <c r="U233"/>
      <c r="V233"/>
      <c r="W233"/>
      <c r="X233"/>
      <c r="Y233"/>
      <c r="Z233" s="16"/>
      <c r="AA233" s="16"/>
      <c r="AB233" s="55"/>
      <c r="AC233"/>
      <c r="AD233"/>
      <c r="AE233"/>
      <c r="AF233"/>
      <c r="AG233"/>
      <c r="AH233"/>
      <c r="AI233"/>
      <c r="AJ233"/>
      <c r="AK233"/>
      <c r="AL233"/>
      <c r="AM233"/>
      <c r="AN233"/>
      <c r="AO233"/>
      <c r="AP233"/>
      <c r="AQ233"/>
      <c r="AS233" s="55"/>
      <c r="AT233"/>
      <c r="AU233" s="41"/>
      <c r="AV233" s="16"/>
      <c r="AW233" s="16"/>
      <c r="AX233" s="16"/>
      <c r="AY233" s="16"/>
      <c r="AZ233" s="16"/>
      <c r="BA233" s="16"/>
      <c r="BB233" s="16"/>
      <c r="BC233" s="16"/>
      <c r="BD233" s="16"/>
      <c r="BE233" s="16"/>
      <c r="BF233" s="16"/>
      <c r="BG233" s="16"/>
      <c r="BH233" s="16"/>
      <c r="BI233"/>
      <c r="BJ233"/>
      <c r="BK233"/>
      <c r="BL233"/>
      <c r="BM233"/>
      <c r="BN233"/>
      <c r="BO233"/>
      <c r="BP233"/>
      <c r="BQ233" s="55"/>
      <c r="BR233"/>
      <c r="BS233"/>
      <c r="BT233"/>
      <c r="BU233"/>
      <c r="BV233"/>
      <c r="BW233"/>
      <c r="BX233"/>
      <c r="BY233"/>
      <c r="BZ233"/>
      <c r="CA233"/>
      <c r="CB233"/>
      <c r="CC233"/>
      <c r="CD233"/>
      <c r="CE233"/>
      <c r="CF233"/>
      <c r="CH233" s="55"/>
      <c r="CI233"/>
      <c r="CJ233" s="16"/>
      <c r="CK233" s="16"/>
      <c r="CL233" s="28"/>
      <c r="CM233" s="28"/>
      <c r="CN233" s="28"/>
      <c r="CO233" s="28"/>
      <c r="CP233" s="28"/>
      <c r="CQ233" s="28"/>
      <c r="CR233" s="28"/>
      <c r="CS233" s="28"/>
      <c r="CT233" s="28"/>
      <c r="CU233" s="28"/>
      <c r="CV233" s="28"/>
      <c r="CW233" s="28"/>
      <c r="CX233" s="28"/>
      <c r="CY233" s="28"/>
      <c r="CZ233" s="28"/>
      <c r="DA233" s="28"/>
      <c r="DB233" s="28"/>
      <c r="DC233" s="28"/>
      <c r="DD233" s="28"/>
      <c r="DF233" s="55"/>
      <c r="DX233" s="28"/>
    </row>
    <row r="234" spans="1:128" s="19" customFormat="1" ht="16" customHeight="1">
      <c r="A234" s="18"/>
      <c r="B234" s="17"/>
      <c r="C234" s="16"/>
      <c r="D234" s="16"/>
      <c r="E234" s="16"/>
      <c r="F234" s="16"/>
      <c r="G234" s="16"/>
      <c r="H234" s="20"/>
      <c r="I234" s="20"/>
      <c r="J234" s="20"/>
      <c r="K234" s="20"/>
      <c r="L234" s="20"/>
      <c r="M234" s="20"/>
      <c r="N234" s="20"/>
      <c r="O234" s="20"/>
      <c r="P234" s="20"/>
      <c r="Q234" s="20"/>
      <c r="R234" s="20"/>
      <c r="S234" s="20"/>
      <c r="T234"/>
      <c r="U234"/>
      <c r="V234"/>
      <c r="W234"/>
      <c r="X234"/>
      <c r="Y234"/>
      <c r="Z234" s="16"/>
      <c r="AA234" s="16"/>
      <c r="AB234" s="55"/>
      <c r="AC234"/>
      <c r="AD234"/>
      <c r="AE234"/>
      <c r="AF234"/>
      <c r="AG234"/>
      <c r="AH234"/>
      <c r="AI234"/>
      <c r="AJ234"/>
      <c r="AK234"/>
      <c r="AL234"/>
      <c r="AM234"/>
      <c r="AN234"/>
      <c r="AO234"/>
      <c r="AP234"/>
      <c r="AQ234"/>
      <c r="AS234" s="55"/>
      <c r="AT234"/>
      <c r="AU234" s="41"/>
      <c r="AV234" s="16"/>
      <c r="AW234" s="16"/>
      <c r="AX234" s="16"/>
      <c r="AY234" s="16"/>
      <c r="AZ234" s="16"/>
      <c r="BA234" s="16"/>
      <c r="BB234" s="16"/>
      <c r="BC234" s="16"/>
      <c r="BD234" s="16"/>
      <c r="BE234" s="16"/>
      <c r="BF234" s="16"/>
      <c r="BG234" s="16"/>
      <c r="BH234" s="16"/>
      <c r="BI234"/>
      <c r="BJ234"/>
      <c r="BK234"/>
      <c r="BL234"/>
      <c r="BM234"/>
      <c r="BN234"/>
      <c r="BO234"/>
      <c r="BP234"/>
      <c r="BQ234" s="55"/>
      <c r="BR234"/>
      <c r="BS234"/>
      <c r="BT234"/>
      <c r="BU234"/>
      <c r="BV234"/>
      <c r="BW234"/>
      <c r="BX234"/>
      <c r="BY234"/>
      <c r="BZ234"/>
      <c r="CA234"/>
      <c r="CB234"/>
      <c r="CC234"/>
      <c r="CD234"/>
      <c r="CE234"/>
      <c r="CF234"/>
      <c r="CH234" s="55"/>
      <c r="CI234"/>
      <c r="CJ234" s="16"/>
      <c r="CK234" s="16"/>
      <c r="CL234" s="28"/>
      <c r="CM234" s="28"/>
      <c r="CN234" s="28"/>
      <c r="CO234" s="28"/>
      <c r="CP234" s="28"/>
      <c r="CQ234" s="28"/>
      <c r="CR234" s="28"/>
      <c r="CS234" s="28"/>
      <c r="CT234" s="28"/>
      <c r="CU234" s="28"/>
      <c r="CV234" s="28"/>
      <c r="CW234" s="28"/>
      <c r="CX234" s="28"/>
      <c r="CY234" s="28"/>
      <c r="CZ234" s="28"/>
      <c r="DA234" s="28"/>
      <c r="DB234" s="28"/>
      <c r="DC234" s="28"/>
      <c r="DD234" s="28"/>
      <c r="DF234" s="55"/>
      <c r="DX234" s="28"/>
    </row>
    <row r="235" spans="1:128" s="19" customFormat="1" ht="16" customHeight="1">
      <c r="A235" s="18"/>
      <c r="B235" s="17"/>
      <c r="C235" s="16"/>
      <c r="D235" s="16"/>
      <c r="E235" s="16"/>
      <c r="F235" s="16"/>
      <c r="G235" s="16"/>
      <c r="H235" s="20"/>
      <c r="I235" s="20"/>
      <c r="J235" s="20"/>
      <c r="K235" s="20"/>
      <c r="L235" s="20"/>
      <c r="M235" s="20"/>
      <c r="N235" s="20"/>
      <c r="O235" s="20"/>
      <c r="P235" s="20"/>
      <c r="Q235" s="20"/>
      <c r="R235" s="20"/>
      <c r="S235" s="20"/>
      <c r="T235"/>
      <c r="U235"/>
      <c r="V235"/>
      <c r="W235"/>
      <c r="X235"/>
      <c r="Y235"/>
      <c r="Z235" s="16"/>
      <c r="AA235" s="16"/>
      <c r="AB235" s="55"/>
      <c r="AC235"/>
      <c r="AD235"/>
      <c r="AE235"/>
      <c r="AF235"/>
      <c r="AG235"/>
      <c r="AH235"/>
      <c r="AI235"/>
      <c r="AJ235"/>
      <c r="AK235"/>
      <c r="AL235"/>
      <c r="AM235"/>
      <c r="AN235"/>
      <c r="AO235"/>
      <c r="AP235"/>
      <c r="AQ235"/>
      <c r="AS235" s="55"/>
      <c r="AT235"/>
      <c r="AU235" s="41"/>
      <c r="AV235" s="16"/>
      <c r="AW235" s="16"/>
      <c r="AX235" s="16"/>
      <c r="AY235" s="16"/>
      <c r="AZ235" s="16"/>
      <c r="BA235" s="16"/>
      <c r="BB235" s="16"/>
      <c r="BC235" s="16"/>
      <c r="BD235" s="16"/>
      <c r="BE235" s="16"/>
      <c r="BF235" s="16"/>
      <c r="BG235" s="16"/>
      <c r="BH235" s="16"/>
      <c r="BI235"/>
      <c r="BJ235"/>
      <c r="BK235"/>
      <c r="BL235"/>
      <c r="BM235"/>
      <c r="BN235"/>
      <c r="BO235"/>
      <c r="BP235"/>
      <c r="BQ235" s="55"/>
      <c r="BR235"/>
      <c r="BS235"/>
      <c r="BT235"/>
      <c r="BU235"/>
      <c r="BV235"/>
      <c r="BW235"/>
      <c r="BX235"/>
      <c r="BY235"/>
      <c r="BZ235"/>
      <c r="CA235"/>
      <c r="CB235"/>
      <c r="CC235"/>
      <c r="CD235"/>
      <c r="CE235"/>
      <c r="CF235"/>
      <c r="CH235" s="55"/>
      <c r="CI235"/>
      <c r="CJ235" s="16"/>
      <c r="CK235" s="16"/>
      <c r="CL235" s="28"/>
      <c r="CM235" s="28"/>
      <c r="CN235" s="28"/>
      <c r="CO235" s="28"/>
      <c r="CP235" s="28"/>
      <c r="CQ235" s="28"/>
      <c r="CR235" s="28"/>
      <c r="CS235" s="28"/>
      <c r="CT235" s="28"/>
      <c r="CU235" s="28"/>
      <c r="CV235" s="28"/>
      <c r="CW235" s="28"/>
      <c r="CX235" s="28"/>
      <c r="CY235" s="28"/>
      <c r="CZ235" s="28"/>
      <c r="DA235" s="28"/>
      <c r="DB235" s="28"/>
      <c r="DC235" s="28"/>
      <c r="DD235" s="28"/>
      <c r="DF235" s="55"/>
      <c r="DX235" s="28"/>
    </row>
    <row r="236" spans="1:128" s="19" customFormat="1" ht="16" customHeight="1">
      <c r="A236" s="18"/>
      <c r="B236" s="17"/>
      <c r="C236" s="16"/>
      <c r="D236" s="16"/>
      <c r="E236" s="16"/>
      <c r="F236" s="16"/>
      <c r="G236" s="16"/>
      <c r="H236" s="20"/>
      <c r="I236" s="20"/>
      <c r="J236" s="20"/>
      <c r="K236" s="20"/>
      <c r="L236" s="20"/>
      <c r="M236" s="20"/>
      <c r="N236" s="20"/>
      <c r="O236" s="20"/>
      <c r="P236" s="20"/>
      <c r="Q236" s="20"/>
      <c r="R236" s="20"/>
      <c r="S236" s="20"/>
      <c r="T236"/>
      <c r="U236"/>
      <c r="V236"/>
      <c r="W236"/>
      <c r="X236"/>
      <c r="Y236"/>
      <c r="Z236" s="16"/>
      <c r="AA236" s="16"/>
      <c r="AB236" s="55"/>
      <c r="AC236"/>
      <c r="AD236"/>
      <c r="AE236"/>
      <c r="AF236"/>
      <c r="AG236"/>
      <c r="AH236"/>
      <c r="AI236"/>
      <c r="AJ236"/>
      <c r="AK236"/>
      <c r="AL236"/>
      <c r="AM236"/>
      <c r="AN236"/>
      <c r="AO236"/>
      <c r="AP236"/>
      <c r="AQ236"/>
      <c r="AS236" s="55"/>
      <c r="AT236"/>
      <c r="AU236" s="41"/>
      <c r="AV236" s="16"/>
      <c r="AW236" s="16"/>
      <c r="AX236" s="16"/>
      <c r="AY236" s="16"/>
      <c r="AZ236" s="16"/>
      <c r="BA236" s="16"/>
      <c r="BB236" s="16"/>
      <c r="BC236" s="16"/>
      <c r="BD236" s="16"/>
      <c r="BE236" s="16"/>
      <c r="BF236" s="16"/>
      <c r="BG236" s="16"/>
      <c r="BH236" s="16"/>
      <c r="BI236"/>
      <c r="BJ236"/>
      <c r="BK236"/>
      <c r="BL236"/>
      <c r="BM236"/>
      <c r="BN236"/>
      <c r="BO236"/>
      <c r="BP236"/>
      <c r="BQ236" s="55"/>
      <c r="BR236"/>
      <c r="BS236"/>
      <c r="BT236"/>
      <c r="BU236"/>
      <c r="BV236"/>
      <c r="BW236"/>
      <c r="BX236"/>
      <c r="BY236"/>
      <c r="BZ236"/>
      <c r="CA236"/>
      <c r="CB236"/>
      <c r="CC236"/>
      <c r="CD236"/>
      <c r="CE236"/>
      <c r="CF236"/>
      <c r="CH236" s="55"/>
      <c r="CI236"/>
      <c r="CJ236" s="16"/>
      <c r="CK236" s="16"/>
      <c r="CL236" s="28"/>
      <c r="CM236" s="28"/>
      <c r="CN236" s="28"/>
      <c r="CO236" s="28"/>
      <c r="CP236" s="28"/>
      <c r="CQ236" s="28"/>
      <c r="CR236" s="28"/>
      <c r="CS236" s="28"/>
      <c r="CT236" s="28"/>
      <c r="CU236" s="28"/>
      <c r="CV236" s="28"/>
      <c r="CW236" s="28"/>
      <c r="CX236" s="28"/>
      <c r="CY236" s="28"/>
      <c r="CZ236" s="28"/>
      <c r="DA236" s="28"/>
      <c r="DB236" s="28"/>
      <c r="DC236" s="28"/>
      <c r="DD236" s="28"/>
      <c r="DF236" s="55"/>
      <c r="DX236" s="28"/>
    </row>
    <row r="237" spans="1:128" s="19" customFormat="1" ht="16" customHeight="1">
      <c r="A237" s="18"/>
      <c r="B237" s="17"/>
      <c r="C237" s="16"/>
      <c r="D237" s="16"/>
      <c r="E237" s="16"/>
      <c r="F237" s="16"/>
      <c r="G237" s="16"/>
      <c r="H237" s="20"/>
      <c r="I237" s="20"/>
      <c r="J237" s="20"/>
      <c r="K237" s="20"/>
      <c r="L237" s="20"/>
      <c r="M237" s="20"/>
      <c r="N237" s="20"/>
      <c r="O237" s="20"/>
      <c r="P237" s="20"/>
      <c r="Q237" s="20"/>
      <c r="R237" s="20"/>
      <c r="S237" s="20"/>
      <c r="T237"/>
      <c r="U237"/>
      <c r="V237"/>
      <c r="W237"/>
      <c r="X237"/>
      <c r="Y237"/>
      <c r="Z237" s="16"/>
      <c r="AA237" s="16"/>
      <c r="AB237" s="55"/>
      <c r="AC237"/>
      <c r="AD237"/>
      <c r="AE237"/>
      <c r="AF237"/>
      <c r="AG237"/>
      <c r="AH237"/>
      <c r="AI237"/>
      <c r="AJ237"/>
      <c r="AK237"/>
      <c r="AL237"/>
      <c r="AM237"/>
      <c r="AN237"/>
      <c r="AO237"/>
      <c r="AP237"/>
      <c r="AQ237"/>
      <c r="AS237" s="55"/>
      <c r="AT237"/>
      <c r="AU237" s="41"/>
      <c r="AV237" s="16"/>
      <c r="AW237" s="16"/>
      <c r="AX237" s="16"/>
      <c r="AY237" s="16"/>
      <c r="AZ237" s="16"/>
      <c r="BA237" s="16"/>
      <c r="BB237" s="16"/>
      <c r="BC237" s="16"/>
      <c r="BD237" s="16"/>
      <c r="BE237" s="16"/>
      <c r="BF237" s="16"/>
      <c r="BG237" s="16"/>
      <c r="BH237" s="16"/>
      <c r="BI237"/>
      <c r="BJ237"/>
      <c r="BK237"/>
      <c r="BL237"/>
      <c r="BM237"/>
      <c r="BN237"/>
      <c r="BO237"/>
      <c r="BP237"/>
      <c r="BQ237" s="55"/>
      <c r="BR237"/>
      <c r="BS237"/>
      <c r="BT237"/>
      <c r="BU237"/>
      <c r="BV237"/>
      <c r="BW237"/>
      <c r="BX237"/>
      <c r="BY237"/>
      <c r="BZ237"/>
      <c r="CA237"/>
      <c r="CB237"/>
      <c r="CC237"/>
      <c r="CD237"/>
      <c r="CE237"/>
      <c r="CF237"/>
      <c r="CH237" s="55"/>
      <c r="CI237"/>
      <c r="CJ237" s="16"/>
      <c r="CK237" s="16"/>
      <c r="CL237" s="28"/>
      <c r="CM237" s="28"/>
      <c r="CN237" s="28"/>
      <c r="CO237" s="28"/>
      <c r="CP237" s="28"/>
      <c r="CQ237" s="28"/>
      <c r="CR237" s="28"/>
      <c r="CS237" s="28"/>
      <c r="CT237" s="28"/>
      <c r="CU237" s="28"/>
      <c r="CV237" s="28"/>
      <c r="CW237" s="28"/>
      <c r="CX237" s="28"/>
      <c r="CY237" s="28"/>
      <c r="CZ237" s="28"/>
      <c r="DA237" s="28"/>
      <c r="DB237" s="28"/>
      <c r="DC237" s="28"/>
      <c r="DD237" s="28"/>
      <c r="DF237" s="55"/>
      <c r="DX237" s="28"/>
    </row>
    <row r="238" spans="1:128" s="19" customFormat="1" ht="16" customHeight="1">
      <c r="A238" s="18"/>
      <c r="B238" s="17"/>
      <c r="C238" s="16"/>
      <c r="D238" s="16"/>
      <c r="E238" s="16"/>
      <c r="F238" s="16"/>
      <c r="G238" s="16"/>
      <c r="H238" s="20"/>
      <c r="I238" s="20"/>
      <c r="J238" s="20"/>
      <c r="K238" s="20"/>
      <c r="L238" s="20"/>
      <c r="M238" s="20"/>
      <c r="N238" s="20"/>
      <c r="O238" s="20"/>
      <c r="P238" s="20"/>
      <c r="Q238" s="20"/>
      <c r="R238" s="20"/>
      <c r="S238" s="20"/>
      <c r="T238"/>
      <c r="U238"/>
      <c r="V238"/>
      <c r="W238"/>
      <c r="X238"/>
      <c r="Y238"/>
      <c r="Z238" s="16"/>
      <c r="AA238" s="16"/>
      <c r="AB238" s="55"/>
      <c r="AC238"/>
      <c r="AD238"/>
      <c r="AE238"/>
      <c r="AF238"/>
      <c r="AG238"/>
      <c r="AH238"/>
      <c r="AI238"/>
      <c r="AJ238"/>
      <c r="AK238"/>
      <c r="AL238"/>
      <c r="AM238"/>
      <c r="AN238"/>
      <c r="AO238"/>
      <c r="AP238"/>
      <c r="AQ238"/>
      <c r="AS238" s="55"/>
      <c r="AT238"/>
      <c r="AU238" s="41"/>
      <c r="AV238" s="16"/>
      <c r="AW238" s="16"/>
      <c r="AX238" s="16"/>
      <c r="AY238" s="16"/>
      <c r="AZ238" s="16"/>
      <c r="BA238" s="16"/>
      <c r="BB238" s="16"/>
      <c r="BC238" s="16"/>
      <c r="BD238" s="16"/>
      <c r="BE238" s="16"/>
      <c r="BF238" s="16"/>
      <c r="BG238" s="16"/>
      <c r="BH238" s="16"/>
      <c r="BI238"/>
      <c r="BJ238"/>
      <c r="BK238"/>
      <c r="BL238"/>
      <c r="BM238"/>
      <c r="BN238"/>
      <c r="BO238"/>
      <c r="BP238"/>
      <c r="BQ238" s="55"/>
      <c r="BR238"/>
      <c r="BS238"/>
      <c r="BT238"/>
      <c r="BU238"/>
      <c r="BV238"/>
      <c r="BW238"/>
      <c r="BX238"/>
      <c r="BY238"/>
      <c r="BZ238"/>
      <c r="CA238"/>
      <c r="CB238"/>
      <c r="CC238"/>
      <c r="CD238"/>
      <c r="CE238"/>
      <c r="CF238"/>
      <c r="CH238" s="55"/>
      <c r="CI238"/>
      <c r="CJ238" s="16"/>
      <c r="CK238" s="16"/>
      <c r="CL238" s="28"/>
      <c r="CM238" s="28"/>
      <c r="CN238" s="28"/>
      <c r="CO238" s="28"/>
      <c r="CP238" s="28"/>
      <c r="CQ238" s="28"/>
      <c r="CR238" s="28"/>
      <c r="CS238" s="28"/>
      <c r="CT238" s="28"/>
      <c r="CU238" s="28"/>
      <c r="CV238" s="28"/>
      <c r="CW238" s="28"/>
      <c r="CX238" s="28"/>
      <c r="CY238" s="28"/>
      <c r="CZ238" s="28"/>
      <c r="DA238" s="28"/>
      <c r="DB238" s="28"/>
      <c r="DC238" s="28"/>
      <c r="DD238" s="28"/>
      <c r="DF238" s="55"/>
      <c r="DX238" s="28"/>
    </row>
    <row r="239" spans="1:128" s="19" customFormat="1" ht="16" customHeight="1">
      <c r="A239" s="18"/>
      <c r="B239" s="17"/>
      <c r="C239" s="16"/>
      <c r="D239" s="16"/>
      <c r="E239" s="16"/>
      <c r="F239" s="16"/>
      <c r="G239" s="16"/>
      <c r="H239" s="20"/>
      <c r="I239" s="20"/>
      <c r="J239" s="20"/>
      <c r="K239" s="20"/>
      <c r="L239" s="20"/>
      <c r="M239" s="20"/>
      <c r="N239" s="20"/>
      <c r="O239" s="20"/>
      <c r="P239" s="20"/>
      <c r="Q239" s="20"/>
      <c r="R239" s="20"/>
      <c r="S239" s="20"/>
      <c r="T239"/>
      <c r="U239"/>
      <c r="V239"/>
      <c r="W239"/>
      <c r="X239"/>
      <c r="Y239"/>
      <c r="Z239" s="16"/>
      <c r="AA239" s="16"/>
      <c r="AB239" s="55"/>
      <c r="AC239"/>
      <c r="AD239"/>
      <c r="AE239"/>
      <c r="AF239"/>
      <c r="AG239"/>
      <c r="AH239"/>
      <c r="AI239"/>
      <c r="AJ239"/>
      <c r="AK239"/>
      <c r="AL239"/>
      <c r="AM239"/>
      <c r="AN239"/>
      <c r="AO239"/>
      <c r="AP239"/>
      <c r="AQ239"/>
      <c r="AS239" s="55"/>
      <c r="AT239"/>
      <c r="AU239" s="41"/>
      <c r="AV239" s="16"/>
      <c r="AW239" s="16"/>
      <c r="AX239" s="16"/>
      <c r="AY239" s="16"/>
      <c r="AZ239" s="16"/>
      <c r="BA239" s="16"/>
      <c r="BB239" s="16"/>
      <c r="BC239" s="16"/>
      <c r="BD239" s="16"/>
      <c r="BE239" s="16"/>
      <c r="BF239" s="16"/>
      <c r="BG239" s="16"/>
      <c r="BH239" s="16"/>
      <c r="BI239"/>
      <c r="BJ239"/>
      <c r="BK239"/>
      <c r="BL239"/>
      <c r="BM239"/>
      <c r="BN239"/>
      <c r="BO239"/>
      <c r="BP239"/>
      <c r="BQ239" s="55"/>
      <c r="BR239"/>
      <c r="BS239"/>
      <c r="BT239"/>
      <c r="BU239"/>
      <c r="BV239"/>
      <c r="BW239"/>
      <c r="BX239"/>
      <c r="BY239"/>
      <c r="BZ239"/>
      <c r="CA239"/>
      <c r="CB239"/>
      <c r="CC239"/>
      <c r="CD239"/>
      <c r="CE239"/>
      <c r="CF239"/>
      <c r="CH239" s="55"/>
      <c r="CI239"/>
      <c r="CJ239" s="16"/>
      <c r="CK239" s="16"/>
      <c r="CL239" s="28"/>
      <c r="CM239" s="28"/>
      <c r="CN239" s="28"/>
      <c r="CO239" s="28"/>
      <c r="CP239" s="28"/>
      <c r="CQ239" s="28"/>
      <c r="CR239" s="28"/>
      <c r="CS239" s="28"/>
      <c r="CT239" s="28"/>
      <c r="CU239" s="28"/>
      <c r="CV239" s="28"/>
      <c r="CW239" s="28"/>
      <c r="CX239" s="28"/>
      <c r="CY239" s="28"/>
      <c r="CZ239" s="28"/>
      <c r="DA239" s="28"/>
      <c r="DB239" s="28"/>
      <c r="DC239" s="28"/>
      <c r="DD239" s="28"/>
      <c r="DF239" s="55"/>
      <c r="DX239" s="28"/>
    </row>
    <row r="240" spans="1:128" s="19" customFormat="1" ht="16" customHeight="1">
      <c r="A240" s="18"/>
      <c r="B240" s="17"/>
      <c r="C240" s="16"/>
      <c r="D240" s="16"/>
      <c r="E240" s="16"/>
      <c r="F240" s="16"/>
      <c r="G240" s="16"/>
      <c r="H240" s="20"/>
      <c r="I240" s="20"/>
      <c r="J240" s="20"/>
      <c r="K240" s="20"/>
      <c r="L240" s="20"/>
      <c r="M240" s="20"/>
      <c r="N240" s="20"/>
      <c r="O240" s="20"/>
      <c r="P240" s="20"/>
      <c r="Q240" s="20"/>
      <c r="R240" s="20"/>
      <c r="S240" s="20"/>
      <c r="T240"/>
      <c r="U240"/>
      <c r="V240"/>
      <c r="W240"/>
      <c r="X240"/>
      <c r="Y240"/>
      <c r="Z240" s="16"/>
      <c r="AA240" s="16"/>
      <c r="AB240" s="55"/>
      <c r="AC240"/>
      <c r="AD240"/>
      <c r="AE240"/>
      <c r="AF240"/>
      <c r="AG240"/>
      <c r="AH240"/>
      <c r="AI240"/>
      <c r="AJ240"/>
      <c r="AK240"/>
      <c r="AL240"/>
      <c r="AM240"/>
      <c r="AN240"/>
      <c r="AO240"/>
      <c r="AP240"/>
      <c r="AQ240"/>
      <c r="AS240" s="55"/>
      <c r="AT240"/>
      <c r="AU240" s="41"/>
      <c r="AV240" s="16"/>
      <c r="AW240" s="16"/>
      <c r="AX240" s="16"/>
      <c r="AY240" s="16"/>
      <c r="AZ240" s="16"/>
      <c r="BA240" s="16"/>
      <c r="BB240" s="16"/>
      <c r="BC240" s="16"/>
      <c r="BD240" s="16"/>
      <c r="BE240" s="16"/>
      <c r="BF240" s="16"/>
      <c r="BG240" s="16"/>
      <c r="BH240" s="16"/>
      <c r="BI240"/>
      <c r="BJ240"/>
      <c r="BK240"/>
      <c r="BL240"/>
      <c r="BM240"/>
      <c r="BN240"/>
      <c r="BO240"/>
      <c r="BP240"/>
      <c r="BQ240" s="55"/>
      <c r="BR240"/>
      <c r="BS240"/>
      <c r="BT240"/>
      <c r="BU240"/>
      <c r="BV240"/>
      <c r="BW240"/>
      <c r="BX240"/>
      <c r="BY240"/>
      <c r="BZ240"/>
      <c r="CA240"/>
      <c r="CB240"/>
      <c r="CC240"/>
      <c r="CD240"/>
      <c r="CE240"/>
      <c r="CF240"/>
      <c r="CH240" s="55"/>
      <c r="CI240"/>
      <c r="CJ240" s="16"/>
      <c r="CK240" s="16"/>
      <c r="CL240" s="28"/>
      <c r="CM240" s="28"/>
      <c r="CN240" s="28"/>
      <c r="CO240" s="28"/>
      <c r="CP240" s="28"/>
      <c r="CQ240" s="28"/>
      <c r="CR240" s="28"/>
      <c r="CS240" s="28"/>
      <c r="CT240" s="28"/>
      <c r="CU240" s="28"/>
      <c r="CV240" s="28"/>
      <c r="CW240" s="28"/>
      <c r="CX240" s="28"/>
      <c r="CY240" s="28"/>
      <c r="CZ240" s="28"/>
      <c r="DA240" s="28"/>
      <c r="DB240" s="28"/>
      <c r="DC240" s="28"/>
      <c r="DD240" s="28"/>
      <c r="DF240" s="55"/>
      <c r="DX240" s="28"/>
    </row>
    <row r="241" spans="1:128" s="19" customFormat="1" ht="16" customHeight="1">
      <c r="A241" s="18"/>
      <c r="B241" s="17"/>
      <c r="C241" s="16"/>
      <c r="D241" s="16"/>
      <c r="E241" s="16"/>
      <c r="F241" s="16"/>
      <c r="G241" s="16"/>
      <c r="H241" s="20"/>
      <c r="I241" s="20"/>
      <c r="J241" s="20"/>
      <c r="K241" s="20"/>
      <c r="L241" s="20"/>
      <c r="M241" s="20"/>
      <c r="N241" s="20"/>
      <c r="O241" s="20"/>
      <c r="P241" s="20"/>
      <c r="Q241" s="20"/>
      <c r="R241" s="20"/>
      <c r="S241" s="20"/>
      <c r="T241"/>
      <c r="U241"/>
      <c r="V241"/>
      <c r="W241"/>
      <c r="X241"/>
      <c r="Y241"/>
      <c r="Z241" s="16"/>
      <c r="AA241" s="16"/>
      <c r="AB241" s="55"/>
      <c r="AC241"/>
      <c r="AD241"/>
      <c r="AE241"/>
      <c r="AF241"/>
      <c r="AG241"/>
      <c r="AH241"/>
      <c r="AI241"/>
      <c r="AJ241"/>
      <c r="AK241"/>
      <c r="AL241"/>
      <c r="AM241"/>
      <c r="AN241"/>
      <c r="AO241"/>
      <c r="AP241"/>
      <c r="AQ241"/>
      <c r="AS241" s="55"/>
      <c r="AT241"/>
      <c r="AU241" s="41"/>
      <c r="AV241" s="16"/>
      <c r="AW241" s="16"/>
      <c r="AX241" s="16"/>
      <c r="AY241" s="16"/>
      <c r="AZ241" s="16"/>
      <c r="BA241" s="16"/>
      <c r="BB241" s="16"/>
      <c r="BC241" s="16"/>
      <c r="BD241" s="16"/>
      <c r="BE241" s="16"/>
      <c r="BF241" s="16"/>
      <c r="BG241" s="16"/>
      <c r="BH241" s="16"/>
      <c r="BI241"/>
      <c r="BJ241"/>
      <c r="BK241"/>
      <c r="BL241"/>
      <c r="BM241"/>
      <c r="BN241"/>
      <c r="BO241"/>
      <c r="BP241"/>
      <c r="BQ241" s="55"/>
      <c r="BR241"/>
      <c r="BS241"/>
      <c r="BT241"/>
      <c r="BU241"/>
      <c r="BV241"/>
      <c r="BW241"/>
      <c r="BX241"/>
      <c r="BY241"/>
      <c r="BZ241"/>
      <c r="CA241"/>
      <c r="CB241"/>
      <c r="CC241"/>
      <c r="CD241"/>
      <c r="CE241"/>
      <c r="CF241"/>
      <c r="CH241" s="55"/>
      <c r="CI241"/>
      <c r="CJ241" s="16"/>
      <c r="CK241" s="16"/>
      <c r="CL241" s="28"/>
      <c r="CM241" s="28"/>
      <c r="CN241" s="28"/>
      <c r="CO241" s="28"/>
      <c r="CP241" s="28"/>
      <c r="CQ241" s="28"/>
      <c r="CR241" s="28"/>
      <c r="CS241" s="28"/>
      <c r="CT241" s="28"/>
      <c r="CU241" s="28"/>
      <c r="CV241" s="28"/>
      <c r="CW241" s="28"/>
      <c r="CX241" s="28"/>
      <c r="CY241" s="28"/>
      <c r="CZ241" s="28"/>
      <c r="DA241" s="28"/>
      <c r="DB241" s="28"/>
      <c r="DC241" s="28"/>
      <c r="DD241" s="28"/>
      <c r="DF241" s="55"/>
      <c r="DX241" s="28"/>
    </row>
    <row r="242" spans="1:128" s="19" customFormat="1" ht="16" customHeight="1">
      <c r="A242" s="18"/>
      <c r="B242" s="17"/>
      <c r="C242" s="16"/>
      <c r="D242" s="16"/>
      <c r="E242" s="16"/>
      <c r="F242" s="16"/>
      <c r="G242" s="16"/>
      <c r="H242" s="20"/>
      <c r="I242" s="20"/>
      <c r="J242" s="20"/>
      <c r="K242" s="20"/>
      <c r="L242" s="20"/>
      <c r="M242" s="20"/>
      <c r="N242" s="20"/>
      <c r="O242" s="20"/>
      <c r="P242" s="20"/>
      <c r="Q242" s="20"/>
      <c r="R242" s="20"/>
      <c r="S242" s="20"/>
      <c r="T242"/>
      <c r="U242"/>
      <c r="V242"/>
      <c r="W242"/>
      <c r="X242"/>
      <c r="Y242"/>
      <c r="Z242" s="16"/>
      <c r="AA242" s="16"/>
      <c r="AB242" s="55"/>
      <c r="AC242"/>
      <c r="AD242"/>
      <c r="AE242"/>
      <c r="AF242"/>
      <c r="AG242"/>
      <c r="AH242"/>
      <c r="AI242"/>
      <c r="AJ242"/>
      <c r="AK242"/>
      <c r="AL242"/>
      <c r="AM242"/>
      <c r="AN242"/>
      <c r="AO242"/>
      <c r="AP242"/>
      <c r="AQ242"/>
      <c r="AS242" s="55"/>
      <c r="AT242"/>
      <c r="AU242" s="41"/>
      <c r="AV242" s="16"/>
      <c r="AW242" s="16"/>
      <c r="AX242" s="16"/>
      <c r="AY242" s="16"/>
      <c r="AZ242" s="16"/>
      <c r="BA242" s="16"/>
      <c r="BB242" s="16"/>
      <c r="BC242" s="16"/>
      <c r="BD242" s="16"/>
      <c r="BE242" s="16"/>
      <c r="BF242" s="16"/>
      <c r="BG242" s="16"/>
      <c r="BH242" s="16"/>
      <c r="BI242"/>
      <c r="BJ242"/>
      <c r="BK242"/>
      <c r="BL242"/>
      <c r="BM242"/>
      <c r="BN242"/>
      <c r="BO242"/>
      <c r="BP242"/>
      <c r="BQ242" s="55"/>
      <c r="BR242"/>
      <c r="BS242"/>
      <c r="BT242"/>
      <c r="BU242"/>
      <c r="BV242"/>
      <c r="BW242"/>
      <c r="BX242"/>
      <c r="BY242"/>
      <c r="BZ242"/>
      <c r="CA242"/>
      <c r="CB242"/>
      <c r="CC242"/>
      <c r="CD242"/>
      <c r="CE242"/>
      <c r="CF242"/>
      <c r="CH242" s="55"/>
      <c r="CI242"/>
      <c r="CJ242" s="16"/>
      <c r="CK242" s="16"/>
      <c r="CL242" s="28"/>
      <c r="CM242" s="28"/>
      <c r="CN242" s="28"/>
      <c r="CO242" s="28"/>
      <c r="CP242" s="28"/>
      <c r="CQ242" s="28"/>
      <c r="CR242" s="28"/>
      <c r="CS242" s="28"/>
      <c r="CT242" s="28"/>
      <c r="CU242" s="28"/>
      <c r="CV242" s="28"/>
      <c r="CW242" s="28"/>
      <c r="CX242" s="28"/>
      <c r="CY242" s="28"/>
      <c r="CZ242" s="28"/>
      <c r="DA242" s="28"/>
      <c r="DB242" s="28"/>
      <c r="DC242" s="28"/>
      <c r="DD242" s="28"/>
      <c r="DF242" s="55"/>
      <c r="DX242" s="28"/>
    </row>
    <row r="243" spans="1:128" s="19" customFormat="1" ht="16" customHeight="1">
      <c r="A243" s="18"/>
      <c r="B243" s="17"/>
      <c r="C243" s="16"/>
      <c r="D243" s="16"/>
      <c r="E243" s="16"/>
      <c r="F243" s="16"/>
      <c r="G243" s="16"/>
      <c r="H243" s="20"/>
      <c r="I243" s="20"/>
      <c r="J243" s="20"/>
      <c r="K243" s="20"/>
      <c r="L243" s="20"/>
      <c r="M243" s="20"/>
      <c r="N243" s="20"/>
      <c r="O243" s="20"/>
      <c r="P243" s="20"/>
      <c r="Q243" s="20"/>
      <c r="R243" s="20"/>
      <c r="S243" s="20"/>
      <c r="T243"/>
      <c r="U243"/>
      <c r="V243"/>
      <c r="W243"/>
      <c r="X243"/>
      <c r="Y243"/>
      <c r="Z243" s="16"/>
      <c r="AA243" s="16"/>
      <c r="AB243" s="55"/>
      <c r="AC243"/>
      <c r="AD243"/>
      <c r="AE243"/>
      <c r="AF243"/>
      <c r="AG243"/>
      <c r="AH243"/>
      <c r="AI243"/>
      <c r="AJ243"/>
      <c r="AK243"/>
      <c r="AL243"/>
      <c r="AM243"/>
      <c r="AN243"/>
      <c r="AO243"/>
      <c r="AP243"/>
      <c r="AQ243"/>
      <c r="AS243" s="55"/>
      <c r="AT243"/>
      <c r="AU243" s="41"/>
      <c r="AV243" s="16"/>
      <c r="AW243" s="16"/>
      <c r="AX243" s="16"/>
      <c r="AY243" s="16"/>
      <c r="AZ243" s="16"/>
      <c r="BA243" s="16"/>
      <c r="BB243" s="16"/>
      <c r="BC243" s="16"/>
      <c r="BD243" s="16"/>
      <c r="BE243" s="16"/>
      <c r="BF243" s="16"/>
      <c r="BG243" s="16"/>
      <c r="BH243" s="16"/>
      <c r="BI243"/>
      <c r="BJ243"/>
      <c r="BK243"/>
      <c r="BL243"/>
      <c r="BM243"/>
      <c r="BN243"/>
      <c r="BO243"/>
      <c r="BP243"/>
      <c r="BQ243" s="55"/>
      <c r="BR243"/>
      <c r="BS243"/>
      <c r="BT243"/>
      <c r="BU243"/>
      <c r="BV243"/>
      <c r="BW243"/>
      <c r="BX243"/>
      <c r="BY243"/>
      <c r="BZ243"/>
      <c r="CA243"/>
      <c r="CB243"/>
      <c r="CC243"/>
      <c r="CD243"/>
      <c r="CE243"/>
      <c r="CF243"/>
      <c r="CH243" s="55"/>
      <c r="CI243"/>
      <c r="CJ243" s="16"/>
      <c r="CK243" s="16"/>
      <c r="CL243" s="28"/>
      <c r="CM243" s="28"/>
      <c r="CN243" s="28"/>
      <c r="CO243" s="28"/>
      <c r="CP243" s="28"/>
      <c r="CQ243" s="28"/>
      <c r="CR243" s="28"/>
      <c r="CS243" s="28"/>
      <c r="CT243" s="28"/>
      <c r="CU243" s="28"/>
      <c r="CV243" s="28"/>
      <c r="CW243" s="28"/>
      <c r="CX243" s="28"/>
      <c r="CY243" s="28"/>
      <c r="CZ243" s="28"/>
      <c r="DA243" s="28"/>
      <c r="DB243" s="28"/>
      <c r="DC243" s="28"/>
      <c r="DD243" s="28"/>
      <c r="DF243" s="55"/>
      <c r="DX243" s="28"/>
    </row>
    <row r="244" spans="1:128" s="19" customFormat="1" ht="16" customHeight="1">
      <c r="A244" s="18"/>
      <c r="B244" s="17"/>
      <c r="C244" s="16"/>
      <c r="D244" s="16"/>
      <c r="E244" s="16"/>
      <c r="F244" s="16"/>
      <c r="G244" s="16"/>
      <c r="H244" s="20"/>
      <c r="I244" s="20"/>
      <c r="J244" s="20"/>
      <c r="K244" s="20"/>
      <c r="L244" s="20"/>
      <c r="M244" s="20"/>
      <c r="N244" s="20"/>
      <c r="O244" s="20"/>
      <c r="P244" s="20"/>
      <c r="Q244" s="20"/>
      <c r="R244" s="20"/>
      <c r="S244" s="20"/>
      <c r="T244"/>
      <c r="U244"/>
      <c r="V244"/>
      <c r="W244"/>
      <c r="X244"/>
      <c r="Y244"/>
      <c r="Z244" s="16"/>
      <c r="AA244" s="16"/>
      <c r="AB244" s="55"/>
      <c r="AC244"/>
      <c r="AD244"/>
      <c r="AE244"/>
      <c r="AF244"/>
      <c r="AG244"/>
      <c r="AH244"/>
      <c r="AI244"/>
      <c r="AJ244"/>
      <c r="AK244"/>
      <c r="AL244"/>
      <c r="AM244"/>
      <c r="AN244"/>
      <c r="AO244"/>
      <c r="AP244"/>
      <c r="AQ244"/>
      <c r="AS244" s="55"/>
      <c r="AT244"/>
      <c r="AU244" s="41"/>
      <c r="AV244" s="16"/>
      <c r="AW244" s="16"/>
      <c r="AX244" s="16"/>
      <c r="AY244" s="16"/>
      <c r="AZ244" s="16"/>
      <c r="BA244" s="16"/>
      <c r="BB244" s="16"/>
      <c r="BC244" s="16"/>
      <c r="BD244" s="16"/>
      <c r="BE244" s="16"/>
      <c r="BF244" s="16"/>
      <c r="BG244" s="16"/>
      <c r="BH244" s="16"/>
      <c r="BI244"/>
      <c r="BJ244"/>
      <c r="BK244"/>
      <c r="BL244"/>
      <c r="BM244"/>
      <c r="BN244"/>
      <c r="BO244"/>
      <c r="BP244"/>
      <c r="BQ244" s="55"/>
      <c r="BR244"/>
      <c r="BS244"/>
      <c r="BT244"/>
      <c r="BU244"/>
      <c r="BV244"/>
      <c r="BW244"/>
      <c r="BX244"/>
      <c r="BY244"/>
      <c r="BZ244"/>
      <c r="CA244"/>
      <c r="CB244"/>
      <c r="CC244"/>
      <c r="CD244"/>
      <c r="CE244"/>
      <c r="CF244"/>
      <c r="CH244" s="55"/>
      <c r="CI244"/>
      <c r="CJ244" s="16"/>
      <c r="CK244" s="16"/>
      <c r="CL244" s="28"/>
      <c r="CM244" s="28"/>
      <c r="CN244" s="28"/>
      <c r="CO244" s="28"/>
      <c r="CP244" s="28"/>
      <c r="CQ244" s="28"/>
      <c r="CR244" s="28"/>
      <c r="CS244" s="28"/>
      <c r="CT244" s="28"/>
      <c r="CU244" s="28"/>
      <c r="CV244" s="28"/>
      <c r="CW244" s="28"/>
      <c r="CX244" s="28"/>
      <c r="CY244" s="28"/>
      <c r="CZ244" s="28"/>
      <c r="DA244" s="28"/>
      <c r="DB244" s="28"/>
      <c r="DC244" s="28"/>
      <c r="DD244" s="28"/>
      <c r="DF244" s="55"/>
      <c r="DX244" s="28"/>
    </row>
    <row r="245" spans="1:128" s="19" customFormat="1" ht="16" customHeight="1">
      <c r="A245" s="18"/>
      <c r="B245" s="17"/>
      <c r="C245" s="16"/>
      <c r="D245" s="16"/>
      <c r="E245" s="16"/>
      <c r="F245" s="16"/>
      <c r="G245" s="16"/>
      <c r="H245" s="20"/>
      <c r="I245" s="20"/>
      <c r="J245" s="20"/>
      <c r="K245" s="20"/>
      <c r="L245" s="20"/>
      <c r="M245" s="20"/>
      <c r="N245" s="20"/>
      <c r="O245" s="20"/>
      <c r="P245" s="20"/>
      <c r="Q245" s="20"/>
      <c r="R245" s="20"/>
      <c r="S245" s="20"/>
      <c r="T245"/>
      <c r="U245"/>
      <c r="V245"/>
      <c r="W245"/>
      <c r="X245"/>
      <c r="Y245"/>
      <c r="Z245" s="16"/>
      <c r="AA245" s="16"/>
      <c r="AB245" s="55"/>
      <c r="AC245"/>
      <c r="AD245"/>
      <c r="AE245"/>
      <c r="AF245"/>
      <c r="AG245"/>
      <c r="AH245"/>
      <c r="AI245"/>
      <c r="AJ245"/>
      <c r="AK245"/>
      <c r="AL245"/>
      <c r="AM245"/>
      <c r="AN245"/>
      <c r="AO245"/>
      <c r="AP245"/>
      <c r="AQ245"/>
      <c r="AS245" s="55"/>
      <c r="AT245"/>
      <c r="AU245" s="41"/>
      <c r="AV245" s="16"/>
      <c r="AW245" s="16"/>
      <c r="AX245" s="16"/>
      <c r="AY245" s="16"/>
      <c r="AZ245" s="16"/>
      <c r="BA245" s="16"/>
      <c r="BB245" s="16"/>
      <c r="BC245" s="16"/>
      <c r="BD245" s="16"/>
      <c r="BE245" s="16"/>
      <c r="BF245" s="16"/>
      <c r="BG245" s="16"/>
      <c r="BH245" s="16"/>
      <c r="BI245"/>
      <c r="BJ245"/>
      <c r="BK245"/>
      <c r="BL245"/>
      <c r="BM245"/>
      <c r="BN245"/>
      <c r="BO245"/>
      <c r="BP245"/>
      <c r="BQ245" s="55"/>
      <c r="BR245"/>
      <c r="BS245"/>
      <c r="BT245"/>
      <c r="BU245"/>
      <c r="BV245"/>
      <c r="BW245"/>
      <c r="BX245"/>
      <c r="BY245"/>
      <c r="BZ245"/>
      <c r="CA245"/>
      <c r="CB245"/>
      <c r="CC245"/>
      <c r="CD245"/>
      <c r="CE245"/>
      <c r="CF245"/>
      <c r="CH245" s="55"/>
      <c r="CI245"/>
      <c r="CJ245" s="16"/>
      <c r="CK245" s="16"/>
      <c r="CL245" s="28"/>
      <c r="CM245" s="28"/>
      <c r="CN245" s="28"/>
      <c r="CO245" s="28"/>
      <c r="CP245" s="28"/>
      <c r="CQ245" s="28"/>
      <c r="CR245" s="28"/>
      <c r="CS245" s="28"/>
      <c r="CT245" s="28"/>
      <c r="CU245" s="28"/>
      <c r="CV245" s="28"/>
      <c r="CW245" s="28"/>
      <c r="CX245" s="28"/>
      <c r="CY245" s="28"/>
      <c r="CZ245" s="28"/>
      <c r="DA245" s="28"/>
      <c r="DB245" s="28"/>
      <c r="DC245" s="28"/>
      <c r="DD245" s="28"/>
      <c r="DF245" s="55"/>
      <c r="DX245" s="28"/>
    </row>
    <row r="246" spans="1:128" s="19" customFormat="1" ht="16" customHeight="1">
      <c r="A246" s="18"/>
      <c r="B246" s="17"/>
      <c r="C246" s="16"/>
      <c r="D246" s="16"/>
      <c r="E246" s="16"/>
      <c r="F246" s="16"/>
      <c r="G246" s="16"/>
      <c r="H246" s="20"/>
      <c r="I246" s="20"/>
      <c r="J246" s="20"/>
      <c r="K246" s="20"/>
      <c r="L246" s="20"/>
      <c r="M246" s="20"/>
      <c r="N246" s="20"/>
      <c r="O246" s="20"/>
      <c r="P246" s="20"/>
      <c r="Q246" s="20"/>
      <c r="R246" s="20"/>
      <c r="S246" s="20"/>
      <c r="T246"/>
      <c r="U246"/>
      <c r="V246"/>
      <c r="W246"/>
      <c r="X246"/>
      <c r="Y246"/>
      <c r="Z246" s="16"/>
      <c r="AA246" s="16"/>
      <c r="AB246" s="55"/>
      <c r="AC246"/>
      <c r="AD246"/>
      <c r="AE246"/>
      <c r="AF246"/>
      <c r="AG246"/>
      <c r="AH246"/>
      <c r="AI246"/>
      <c r="AJ246"/>
      <c r="AK246"/>
      <c r="AL246"/>
      <c r="AM246"/>
      <c r="AN246"/>
      <c r="AO246"/>
      <c r="AP246"/>
      <c r="AQ246"/>
      <c r="AS246" s="55"/>
      <c r="AT246"/>
      <c r="AU246" s="41"/>
      <c r="AV246" s="16"/>
      <c r="AW246" s="16"/>
      <c r="AX246" s="16"/>
      <c r="AY246" s="16"/>
      <c r="AZ246" s="16"/>
      <c r="BA246" s="16"/>
      <c r="BB246" s="16"/>
      <c r="BC246" s="16"/>
      <c r="BD246" s="16"/>
      <c r="BE246" s="16"/>
      <c r="BF246" s="16"/>
      <c r="BG246" s="16"/>
      <c r="BH246" s="16"/>
      <c r="BI246"/>
      <c r="BJ246"/>
      <c r="BK246"/>
      <c r="BL246"/>
      <c r="BM246"/>
      <c r="BN246"/>
      <c r="BO246"/>
      <c r="BP246"/>
      <c r="BQ246" s="55"/>
      <c r="BR246"/>
      <c r="BS246"/>
      <c r="BT246"/>
      <c r="BU246"/>
      <c r="BV246"/>
      <c r="BW246"/>
      <c r="BX246"/>
      <c r="BY246"/>
      <c r="BZ246"/>
      <c r="CA246"/>
      <c r="CB246"/>
      <c r="CC246"/>
      <c r="CD246"/>
      <c r="CE246"/>
      <c r="CF246"/>
      <c r="CH246" s="55"/>
      <c r="CI246"/>
      <c r="CJ246" s="16"/>
      <c r="CK246" s="16"/>
      <c r="CL246" s="28"/>
      <c r="CM246" s="28"/>
      <c r="CN246" s="28"/>
      <c r="CO246" s="28"/>
      <c r="CP246" s="28"/>
      <c r="CQ246" s="28"/>
      <c r="CR246" s="28"/>
      <c r="CS246" s="28"/>
      <c r="CT246" s="28"/>
      <c r="CU246" s="28"/>
      <c r="CV246" s="28"/>
      <c r="CW246" s="28"/>
      <c r="CX246" s="28"/>
      <c r="CY246" s="28"/>
      <c r="CZ246" s="28"/>
      <c r="DA246" s="28"/>
      <c r="DB246" s="28"/>
      <c r="DC246" s="28"/>
      <c r="DD246" s="28"/>
      <c r="DF246" s="55"/>
      <c r="DX246" s="28"/>
    </row>
    <row r="247" spans="1:128" s="19" customFormat="1" ht="16" customHeight="1">
      <c r="A247" s="18"/>
      <c r="B247" s="17"/>
      <c r="C247" s="16"/>
      <c r="D247" s="16"/>
      <c r="E247" s="16"/>
      <c r="F247" s="16"/>
      <c r="G247" s="16"/>
      <c r="H247" s="20"/>
      <c r="I247" s="20"/>
      <c r="J247" s="20"/>
      <c r="K247" s="20"/>
      <c r="L247" s="20"/>
      <c r="M247" s="20"/>
      <c r="N247" s="20"/>
      <c r="O247" s="20"/>
      <c r="P247" s="20"/>
      <c r="Q247" s="20"/>
      <c r="R247" s="20"/>
      <c r="S247" s="20"/>
      <c r="T247"/>
      <c r="U247"/>
      <c r="V247"/>
      <c r="W247"/>
      <c r="X247"/>
      <c r="Y247"/>
      <c r="Z247" s="16"/>
      <c r="AA247" s="16"/>
      <c r="AB247" s="55"/>
      <c r="AC247"/>
      <c r="AD247"/>
      <c r="AE247"/>
      <c r="AF247"/>
      <c r="AG247"/>
      <c r="AH247"/>
      <c r="AI247"/>
      <c r="AJ247"/>
      <c r="AK247"/>
      <c r="AL247"/>
      <c r="AM247"/>
      <c r="AN247"/>
      <c r="AO247"/>
      <c r="AP247"/>
      <c r="AQ247"/>
      <c r="AS247" s="55"/>
      <c r="AT247"/>
      <c r="AU247" s="41"/>
      <c r="AV247" s="16"/>
      <c r="AW247" s="16"/>
      <c r="AX247" s="16"/>
      <c r="AY247" s="16"/>
      <c r="AZ247" s="16"/>
      <c r="BA247" s="16"/>
      <c r="BB247" s="16"/>
      <c r="BC247" s="16"/>
      <c r="BD247" s="16"/>
      <c r="BE247" s="16"/>
      <c r="BF247" s="16"/>
      <c r="BG247" s="16"/>
      <c r="BH247" s="16"/>
      <c r="BI247"/>
      <c r="BJ247"/>
      <c r="BK247"/>
      <c r="BL247"/>
      <c r="BM247"/>
      <c r="BN247"/>
      <c r="BO247"/>
      <c r="BP247"/>
      <c r="BQ247" s="55"/>
      <c r="BR247"/>
      <c r="BS247"/>
      <c r="BT247"/>
      <c r="BU247"/>
      <c r="BV247"/>
      <c r="BW247"/>
      <c r="BX247"/>
      <c r="BY247"/>
      <c r="BZ247"/>
      <c r="CA247"/>
      <c r="CB247"/>
      <c r="CC247"/>
      <c r="CD247"/>
      <c r="CE247"/>
      <c r="CF247"/>
      <c r="CH247" s="55"/>
      <c r="CI247"/>
      <c r="CJ247" s="16"/>
      <c r="CK247" s="16"/>
      <c r="CL247" s="28"/>
      <c r="CM247" s="28"/>
      <c r="CN247" s="28"/>
      <c r="CO247" s="28"/>
      <c r="CP247" s="28"/>
      <c r="CQ247" s="28"/>
      <c r="CR247" s="28"/>
      <c r="CS247" s="28"/>
      <c r="CT247" s="28"/>
      <c r="CU247" s="28"/>
      <c r="CV247" s="28"/>
      <c r="CW247" s="28"/>
      <c r="CX247" s="28"/>
      <c r="CY247" s="28"/>
      <c r="CZ247" s="28"/>
      <c r="DA247" s="28"/>
      <c r="DB247" s="28"/>
      <c r="DC247" s="28"/>
      <c r="DD247" s="28"/>
      <c r="DF247" s="55"/>
      <c r="DX247" s="28"/>
    </row>
    <row r="248" spans="1:128" s="19" customFormat="1" ht="16" customHeight="1">
      <c r="A248" s="18"/>
      <c r="B248" s="17"/>
      <c r="C248" s="16"/>
      <c r="D248" s="16"/>
      <c r="E248" s="16"/>
      <c r="F248" s="16"/>
      <c r="G248" s="16"/>
      <c r="H248" s="20"/>
      <c r="I248" s="20"/>
      <c r="J248" s="20"/>
      <c r="K248" s="20"/>
      <c r="L248" s="20"/>
      <c r="M248" s="20"/>
      <c r="N248" s="20"/>
      <c r="O248" s="20"/>
      <c r="P248" s="20"/>
      <c r="Q248" s="20"/>
      <c r="R248" s="20"/>
      <c r="S248" s="20"/>
      <c r="T248"/>
      <c r="U248"/>
      <c r="V248"/>
      <c r="W248"/>
      <c r="X248"/>
      <c r="Y248"/>
      <c r="Z248" s="16"/>
      <c r="AA248" s="16"/>
      <c r="AB248" s="55"/>
      <c r="AC248"/>
      <c r="AD248"/>
      <c r="AE248"/>
      <c r="AF248"/>
      <c r="AG248"/>
      <c r="AH248"/>
      <c r="AI248"/>
      <c r="AJ248"/>
      <c r="AK248"/>
      <c r="AL248"/>
      <c r="AM248"/>
      <c r="AN248"/>
      <c r="AO248"/>
      <c r="AP248"/>
      <c r="AQ248"/>
      <c r="AS248" s="55"/>
      <c r="AT248"/>
      <c r="AU248" s="41"/>
      <c r="AV248" s="16"/>
      <c r="AW248" s="16"/>
      <c r="AX248" s="16"/>
      <c r="AY248" s="16"/>
      <c r="AZ248" s="16"/>
      <c r="BA248" s="16"/>
      <c r="BB248" s="16"/>
      <c r="BC248" s="16"/>
      <c r="BD248" s="16"/>
      <c r="BE248" s="16"/>
      <c r="BF248" s="16"/>
      <c r="BG248" s="16"/>
      <c r="BH248" s="16"/>
      <c r="BI248"/>
      <c r="BJ248"/>
      <c r="BK248"/>
      <c r="BL248"/>
      <c r="BM248"/>
      <c r="BN248"/>
      <c r="BO248"/>
      <c r="BP248"/>
      <c r="BQ248" s="55"/>
      <c r="BR248"/>
      <c r="BS248"/>
      <c r="BT248"/>
      <c r="BU248"/>
      <c r="BV248"/>
      <c r="BW248"/>
      <c r="BX248"/>
      <c r="BY248"/>
      <c r="BZ248"/>
      <c r="CA248"/>
      <c r="CB248"/>
      <c r="CC248"/>
      <c r="CD248"/>
      <c r="CE248"/>
      <c r="CF248"/>
      <c r="CH248" s="55"/>
      <c r="CI248"/>
      <c r="CJ248" s="16"/>
      <c r="CK248" s="16"/>
      <c r="CL248" s="28"/>
      <c r="CM248" s="28"/>
      <c r="CN248" s="28"/>
      <c r="CO248" s="28"/>
      <c r="CP248" s="28"/>
      <c r="CQ248" s="28"/>
      <c r="CR248" s="28"/>
      <c r="CS248" s="28"/>
      <c r="CT248" s="28"/>
      <c r="CU248" s="28"/>
      <c r="CV248" s="28"/>
      <c r="CW248" s="28"/>
      <c r="CX248" s="28"/>
      <c r="CY248" s="28"/>
      <c r="CZ248" s="28"/>
      <c r="DA248" s="28"/>
      <c r="DB248" s="28"/>
      <c r="DC248" s="28"/>
      <c r="DD248" s="28"/>
      <c r="DF248" s="55"/>
      <c r="DX248" s="28"/>
    </row>
    <row r="249" spans="1:128" s="19" customFormat="1" ht="16" customHeight="1">
      <c r="A249" s="18"/>
      <c r="B249" s="17"/>
      <c r="C249" s="16"/>
      <c r="D249" s="16"/>
      <c r="E249" s="16"/>
      <c r="F249" s="16"/>
      <c r="G249" s="16"/>
      <c r="H249" s="20"/>
      <c r="I249" s="20"/>
      <c r="J249" s="20"/>
      <c r="K249" s="20"/>
      <c r="L249" s="20"/>
      <c r="M249" s="20"/>
      <c r="N249" s="20"/>
      <c r="O249" s="20"/>
      <c r="P249" s="20"/>
      <c r="Q249" s="20"/>
      <c r="R249" s="20"/>
      <c r="S249" s="20"/>
      <c r="T249"/>
      <c r="U249"/>
      <c r="V249"/>
      <c r="W249"/>
      <c r="X249"/>
      <c r="Y249"/>
      <c r="Z249" s="16"/>
      <c r="AA249" s="16"/>
      <c r="AB249" s="55"/>
      <c r="AC249"/>
      <c r="AD249"/>
      <c r="AE249"/>
      <c r="AF249"/>
      <c r="AG249"/>
      <c r="AH249"/>
      <c r="AI249"/>
      <c r="AJ249"/>
      <c r="AK249"/>
      <c r="AL249"/>
      <c r="AM249"/>
      <c r="AN249"/>
      <c r="AO249"/>
      <c r="AP249"/>
      <c r="AQ249"/>
      <c r="AS249" s="55"/>
      <c r="AT249"/>
      <c r="AU249" s="41"/>
      <c r="AV249" s="16"/>
      <c r="AW249" s="16"/>
      <c r="AX249" s="16"/>
      <c r="AY249" s="16"/>
      <c r="AZ249" s="16"/>
      <c r="BA249" s="16"/>
      <c r="BB249" s="16"/>
      <c r="BC249" s="16"/>
      <c r="BD249" s="16"/>
      <c r="BE249" s="16"/>
      <c r="BF249" s="16"/>
      <c r="BG249" s="16"/>
      <c r="BH249" s="16"/>
      <c r="BI249"/>
      <c r="BJ249"/>
      <c r="BK249"/>
      <c r="BL249"/>
      <c r="BM249"/>
      <c r="BN249"/>
      <c r="BO249"/>
      <c r="BP249"/>
      <c r="BQ249" s="55"/>
      <c r="BR249"/>
      <c r="BS249"/>
      <c r="BT249"/>
      <c r="BU249"/>
      <c r="BV249"/>
      <c r="BW249"/>
      <c r="BX249"/>
      <c r="BY249"/>
      <c r="BZ249"/>
      <c r="CA249"/>
      <c r="CB249"/>
      <c r="CC249"/>
      <c r="CD249"/>
      <c r="CE249"/>
      <c r="CF249"/>
      <c r="CH249" s="55"/>
      <c r="CI249"/>
      <c r="CJ249" s="16"/>
      <c r="CK249" s="16"/>
      <c r="CL249" s="28"/>
      <c r="CM249" s="28"/>
      <c r="CN249" s="28"/>
      <c r="CO249" s="28"/>
      <c r="CP249" s="28"/>
      <c r="CQ249" s="28"/>
      <c r="CR249" s="28"/>
      <c r="CS249" s="28"/>
      <c r="CT249" s="28"/>
      <c r="CU249" s="28"/>
      <c r="CV249" s="28"/>
      <c r="CW249" s="28"/>
      <c r="CX249" s="28"/>
      <c r="CY249" s="28"/>
      <c r="CZ249" s="28"/>
      <c r="DA249" s="28"/>
      <c r="DB249" s="28"/>
      <c r="DC249" s="28"/>
      <c r="DD249" s="28"/>
      <c r="DF249" s="55"/>
      <c r="DX249" s="28"/>
    </row>
    <row r="250" spans="1:128" s="19" customFormat="1" ht="16" customHeight="1">
      <c r="A250" s="18"/>
      <c r="B250" s="17"/>
      <c r="C250" s="16"/>
      <c r="D250" s="16"/>
      <c r="E250" s="16"/>
      <c r="F250" s="16"/>
      <c r="G250" s="16"/>
      <c r="H250" s="20"/>
      <c r="I250" s="20"/>
      <c r="J250" s="20"/>
      <c r="K250" s="20"/>
      <c r="L250" s="20"/>
      <c r="M250" s="20"/>
      <c r="N250" s="20"/>
      <c r="O250" s="20"/>
      <c r="P250" s="20"/>
      <c r="Q250" s="20"/>
      <c r="R250" s="20"/>
      <c r="S250" s="20"/>
      <c r="T250"/>
      <c r="U250"/>
      <c r="V250"/>
      <c r="W250"/>
      <c r="X250"/>
      <c r="Y250"/>
      <c r="Z250" s="16"/>
      <c r="AA250" s="16"/>
      <c r="AB250" s="55"/>
      <c r="AC250"/>
      <c r="AD250"/>
      <c r="AE250"/>
      <c r="AF250"/>
      <c r="AG250"/>
      <c r="AH250"/>
      <c r="AI250"/>
      <c r="AJ250"/>
      <c r="AK250"/>
      <c r="AL250"/>
      <c r="AM250"/>
      <c r="AN250"/>
      <c r="AO250"/>
      <c r="AP250"/>
      <c r="AQ250"/>
      <c r="AS250" s="55"/>
      <c r="AT250"/>
      <c r="AU250" s="41"/>
      <c r="AV250" s="16"/>
      <c r="AW250" s="16"/>
      <c r="AX250" s="16"/>
      <c r="AY250" s="16"/>
      <c r="AZ250" s="16"/>
      <c r="BA250" s="16"/>
      <c r="BB250" s="16"/>
      <c r="BC250" s="16"/>
      <c r="BD250" s="16"/>
      <c r="BE250" s="16"/>
      <c r="BF250" s="16"/>
      <c r="BG250" s="16"/>
      <c r="BH250" s="16"/>
      <c r="BI250"/>
      <c r="BJ250"/>
      <c r="BK250"/>
      <c r="BL250"/>
      <c r="BM250"/>
      <c r="BN250"/>
      <c r="BO250"/>
      <c r="BP250"/>
      <c r="BQ250" s="55"/>
      <c r="BR250"/>
      <c r="BS250"/>
      <c r="BT250"/>
      <c r="BU250"/>
      <c r="BV250"/>
      <c r="BW250"/>
      <c r="BX250"/>
      <c r="BY250"/>
      <c r="BZ250"/>
      <c r="CA250"/>
      <c r="CB250"/>
      <c r="CC250"/>
      <c r="CD250"/>
      <c r="CE250"/>
      <c r="CF250"/>
      <c r="CH250" s="55"/>
      <c r="CI250"/>
      <c r="CJ250" s="16"/>
      <c r="CK250" s="16"/>
      <c r="CL250" s="28"/>
      <c r="CM250" s="28"/>
      <c r="CN250" s="28"/>
      <c r="CO250" s="28"/>
      <c r="CP250" s="28"/>
      <c r="CQ250" s="28"/>
      <c r="CR250" s="28"/>
      <c r="CS250" s="28"/>
      <c r="CT250" s="28"/>
      <c r="CU250" s="28"/>
      <c r="CV250" s="28"/>
      <c r="CW250" s="28"/>
      <c r="CX250" s="28"/>
      <c r="CY250" s="28"/>
      <c r="CZ250" s="28"/>
      <c r="DA250" s="28"/>
      <c r="DB250" s="28"/>
      <c r="DC250" s="28"/>
      <c r="DD250" s="28"/>
      <c r="DF250" s="55"/>
      <c r="DX250" s="28"/>
    </row>
    <row r="251" spans="1:128" s="19" customFormat="1" ht="16" customHeight="1">
      <c r="A251" s="18"/>
      <c r="B251" s="17"/>
      <c r="C251" s="16"/>
      <c r="D251" s="16"/>
      <c r="E251" s="16"/>
      <c r="F251" s="16"/>
      <c r="G251" s="16"/>
      <c r="H251" s="20"/>
      <c r="I251" s="20"/>
      <c r="J251" s="20"/>
      <c r="K251" s="20"/>
      <c r="L251" s="20"/>
      <c r="M251" s="20"/>
      <c r="N251" s="20"/>
      <c r="O251" s="20"/>
      <c r="P251" s="20"/>
      <c r="Q251" s="20"/>
      <c r="R251" s="20"/>
      <c r="S251" s="20"/>
      <c r="T251"/>
      <c r="U251"/>
      <c r="V251"/>
      <c r="W251"/>
      <c r="X251"/>
      <c r="Y251"/>
      <c r="Z251" s="16"/>
      <c r="AA251" s="16"/>
      <c r="AB251" s="55"/>
      <c r="AC251"/>
      <c r="AD251"/>
      <c r="AE251"/>
      <c r="AF251"/>
      <c r="AG251"/>
      <c r="AH251"/>
      <c r="AI251"/>
      <c r="AJ251"/>
      <c r="AK251"/>
      <c r="AL251"/>
      <c r="AM251"/>
      <c r="AN251"/>
      <c r="AO251"/>
      <c r="AP251"/>
      <c r="AQ251"/>
      <c r="AS251" s="55"/>
      <c r="AT251"/>
      <c r="AU251" s="41"/>
      <c r="AV251" s="16"/>
      <c r="AW251" s="16"/>
      <c r="AX251" s="16"/>
      <c r="AY251" s="16"/>
      <c r="AZ251" s="16"/>
      <c r="BA251" s="16"/>
      <c r="BB251" s="16"/>
      <c r="BC251" s="16"/>
      <c r="BD251" s="16"/>
      <c r="BE251" s="16"/>
      <c r="BF251" s="16"/>
      <c r="BG251" s="16"/>
      <c r="BH251" s="16"/>
      <c r="BI251"/>
      <c r="BJ251"/>
      <c r="BK251"/>
      <c r="BL251"/>
      <c r="BM251"/>
      <c r="BN251"/>
      <c r="BO251"/>
      <c r="BP251"/>
      <c r="BQ251" s="55"/>
      <c r="BR251"/>
      <c r="BS251"/>
      <c r="BT251"/>
      <c r="BU251"/>
      <c r="BV251"/>
      <c r="BW251"/>
      <c r="BX251"/>
      <c r="BY251"/>
      <c r="BZ251"/>
      <c r="CA251"/>
      <c r="CB251"/>
      <c r="CC251"/>
      <c r="CD251"/>
      <c r="CE251"/>
      <c r="CF251"/>
      <c r="CH251" s="55"/>
      <c r="CI251"/>
      <c r="CJ251" s="16"/>
      <c r="CK251" s="16"/>
      <c r="CL251" s="28"/>
      <c r="CM251" s="28"/>
      <c r="CN251" s="28"/>
      <c r="CO251" s="28"/>
      <c r="CP251" s="28"/>
      <c r="CQ251" s="28"/>
      <c r="CR251" s="28"/>
      <c r="CS251" s="28"/>
      <c r="CT251" s="28"/>
      <c r="CU251" s="28"/>
      <c r="CV251" s="28"/>
      <c r="CW251" s="28"/>
      <c r="CX251" s="28"/>
      <c r="CY251" s="28"/>
      <c r="CZ251" s="28"/>
      <c r="DA251" s="28"/>
      <c r="DB251" s="28"/>
      <c r="DC251" s="28"/>
      <c r="DD251" s="28"/>
      <c r="DF251" s="55"/>
      <c r="DX251" s="28"/>
    </row>
    <row r="252" spans="1:128" s="19" customFormat="1" ht="16" customHeight="1">
      <c r="A252" s="18"/>
      <c r="B252" s="17"/>
      <c r="C252" s="16"/>
      <c r="D252" s="16"/>
      <c r="E252" s="16"/>
      <c r="F252" s="16"/>
      <c r="G252" s="16"/>
      <c r="H252" s="20"/>
      <c r="I252" s="20"/>
      <c r="J252" s="20"/>
      <c r="K252" s="20"/>
      <c r="L252" s="20"/>
      <c r="M252" s="20"/>
      <c r="N252" s="20"/>
      <c r="O252" s="20"/>
      <c r="P252" s="20"/>
      <c r="Q252" s="20"/>
      <c r="R252" s="20"/>
      <c r="S252" s="20"/>
      <c r="T252"/>
      <c r="U252"/>
      <c r="V252"/>
      <c r="W252"/>
      <c r="X252"/>
      <c r="Y252"/>
      <c r="Z252" s="16"/>
      <c r="AA252" s="16"/>
      <c r="AB252" s="55"/>
      <c r="AC252"/>
      <c r="AD252"/>
      <c r="AE252"/>
      <c r="AF252"/>
      <c r="AG252"/>
      <c r="AH252"/>
      <c r="AI252"/>
      <c r="AJ252"/>
      <c r="AK252"/>
      <c r="AL252"/>
      <c r="AM252"/>
      <c r="AN252"/>
      <c r="AO252"/>
      <c r="AP252"/>
      <c r="AQ252"/>
      <c r="AS252" s="55"/>
      <c r="AT252"/>
      <c r="AU252" s="41"/>
      <c r="AV252" s="16"/>
      <c r="AW252" s="16"/>
      <c r="AX252" s="16"/>
      <c r="AY252" s="16"/>
      <c r="AZ252" s="16"/>
      <c r="BA252" s="16"/>
      <c r="BB252" s="16"/>
      <c r="BC252" s="16"/>
      <c r="BD252" s="16"/>
      <c r="BE252" s="16"/>
      <c r="BF252" s="16"/>
      <c r="BG252" s="16"/>
      <c r="BH252" s="16"/>
      <c r="BI252"/>
      <c r="BJ252"/>
      <c r="BK252"/>
      <c r="BL252"/>
      <c r="BM252"/>
      <c r="BN252"/>
      <c r="BO252"/>
      <c r="BP252"/>
      <c r="BQ252" s="55"/>
      <c r="BR252"/>
      <c r="BS252"/>
      <c r="BT252"/>
      <c r="BU252"/>
      <c r="BV252"/>
      <c r="BW252"/>
      <c r="BX252"/>
      <c r="BY252"/>
      <c r="BZ252"/>
      <c r="CA252"/>
      <c r="CB252"/>
      <c r="CC252"/>
      <c r="CD252"/>
      <c r="CE252"/>
      <c r="CF252"/>
      <c r="CH252" s="55"/>
      <c r="CI252"/>
      <c r="CJ252" s="16"/>
      <c r="CK252" s="16"/>
      <c r="CL252" s="28"/>
      <c r="CM252" s="28"/>
      <c r="CN252" s="28"/>
      <c r="CO252" s="28"/>
      <c r="CP252" s="28"/>
      <c r="CQ252" s="28"/>
      <c r="CR252" s="28"/>
      <c r="CS252" s="28"/>
      <c r="CT252" s="28"/>
      <c r="CU252" s="28"/>
      <c r="CV252" s="28"/>
      <c r="CW252" s="28"/>
      <c r="CX252" s="28"/>
      <c r="CY252" s="28"/>
      <c r="CZ252" s="28"/>
      <c r="DA252" s="28"/>
      <c r="DB252" s="28"/>
      <c r="DC252" s="28"/>
      <c r="DD252" s="28"/>
      <c r="DF252" s="55"/>
      <c r="DX252" s="28"/>
    </row>
    <row r="253" spans="1:128" s="19" customFormat="1" ht="16" customHeight="1">
      <c r="A253" s="18"/>
      <c r="B253" s="17"/>
      <c r="C253" s="16"/>
      <c r="D253" s="16"/>
      <c r="E253" s="16"/>
      <c r="F253" s="16"/>
      <c r="G253" s="16"/>
      <c r="H253" s="20"/>
      <c r="I253" s="20"/>
      <c r="J253" s="20"/>
      <c r="K253" s="20"/>
      <c r="L253" s="20"/>
      <c r="M253" s="20"/>
      <c r="N253" s="20"/>
      <c r="O253" s="20"/>
      <c r="P253" s="20"/>
      <c r="Q253" s="20"/>
      <c r="R253" s="20"/>
      <c r="S253" s="20"/>
      <c r="T253"/>
      <c r="U253"/>
      <c r="V253"/>
      <c r="W253"/>
      <c r="X253"/>
      <c r="Y253"/>
      <c r="Z253" s="16"/>
      <c r="AA253" s="16"/>
      <c r="AB253" s="55"/>
      <c r="AC253"/>
      <c r="AD253"/>
      <c r="AE253"/>
      <c r="AF253"/>
      <c r="AG253"/>
      <c r="AH253"/>
      <c r="AI253"/>
      <c r="AJ253"/>
      <c r="AK253"/>
      <c r="AL253"/>
      <c r="AM253"/>
      <c r="AN253"/>
      <c r="AO253"/>
      <c r="AP253"/>
      <c r="AQ253"/>
      <c r="AS253" s="55"/>
      <c r="AT253"/>
      <c r="AU253" s="41"/>
      <c r="AV253" s="16"/>
      <c r="AW253" s="16"/>
      <c r="AX253" s="16"/>
      <c r="AY253" s="16"/>
      <c r="AZ253" s="16"/>
      <c r="BA253" s="16"/>
      <c r="BB253" s="16"/>
      <c r="BC253" s="16"/>
      <c r="BD253" s="16"/>
      <c r="BE253" s="16"/>
      <c r="BF253" s="16"/>
      <c r="BG253" s="16"/>
      <c r="BH253" s="16"/>
      <c r="BI253"/>
      <c r="BJ253"/>
      <c r="BK253"/>
      <c r="BL253"/>
      <c r="BM253"/>
      <c r="BN253"/>
      <c r="BO253"/>
      <c r="BP253"/>
      <c r="BQ253" s="55"/>
      <c r="BR253"/>
      <c r="BS253"/>
      <c r="BT253"/>
      <c r="BU253"/>
      <c r="BV253"/>
      <c r="BW253"/>
      <c r="BX253"/>
      <c r="BY253"/>
      <c r="BZ253"/>
      <c r="CA253"/>
      <c r="CB253"/>
      <c r="CC253"/>
      <c r="CD253"/>
      <c r="CE253"/>
      <c r="CF253"/>
      <c r="CH253" s="55"/>
      <c r="CI253"/>
      <c r="CJ253" s="16"/>
      <c r="CK253" s="16"/>
      <c r="CL253" s="28"/>
      <c r="CM253" s="28"/>
      <c r="CN253" s="28"/>
      <c r="CO253" s="28"/>
      <c r="CP253" s="28"/>
      <c r="CQ253" s="28"/>
      <c r="CR253" s="28"/>
      <c r="CS253" s="28"/>
      <c r="CT253" s="28"/>
      <c r="CU253" s="28"/>
      <c r="CV253" s="28"/>
      <c r="CW253" s="28"/>
      <c r="CX253" s="28"/>
      <c r="CY253" s="28"/>
      <c r="CZ253" s="28"/>
      <c r="DA253" s="28"/>
      <c r="DB253" s="28"/>
      <c r="DC253" s="28"/>
      <c r="DD253" s="28"/>
      <c r="DF253" s="55"/>
      <c r="DX253" s="28"/>
    </row>
    <row r="254" spans="1:128" s="19" customFormat="1" ht="16" customHeight="1">
      <c r="A254" s="18"/>
      <c r="B254" s="17"/>
      <c r="C254" s="16"/>
      <c r="D254" s="16"/>
      <c r="E254" s="16"/>
      <c r="F254" s="16"/>
      <c r="G254" s="16"/>
      <c r="H254" s="20"/>
      <c r="I254" s="20"/>
      <c r="J254" s="20"/>
      <c r="K254" s="20"/>
      <c r="L254" s="20"/>
      <c r="M254" s="20"/>
      <c r="N254" s="20"/>
      <c r="O254" s="20"/>
      <c r="P254" s="20"/>
      <c r="Q254" s="20"/>
      <c r="R254" s="20"/>
      <c r="S254" s="20"/>
      <c r="T254"/>
      <c r="U254"/>
      <c r="V254"/>
      <c r="W254"/>
      <c r="X254"/>
      <c r="Y254"/>
      <c r="Z254" s="16"/>
      <c r="AA254" s="16"/>
      <c r="AB254" s="55"/>
      <c r="AC254"/>
      <c r="AD254"/>
      <c r="AE254"/>
      <c r="AF254"/>
      <c r="AG254"/>
      <c r="AH254"/>
      <c r="AI254"/>
      <c r="AJ254"/>
      <c r="AK254"/>
      <c r="AL254"/>
      <c r="AM254"/>
      <c r="AN254"/>
      <c r="AO254"/>
      <c r="AP254"/>
      <c r="AQ254"/>
      <c r="AS254" s="55"/>
      <c r="AT254"/>
      <c r="AU254" s="41"/>
      <c r="AV254" s="16"/>
      <c r="AW254" s="16"/>
      <c r="AX254" s="16"/>
      <c r="AY254" s="16"/>
      <c r="AZ254" s="16"/>
      <c r="BA254" s="16"/>
      <c r="BB254" s="16"/>
      <c r="BC254" s="16"/>
      <c r="BD254" s="16"/>
      <c r="BE254" s="16"/>
      <c r="BF254" s="16"/>
      <c r="BG254" s="16"/>
      <c r="BH254" s="16"/>
      <c r="BI254"/>
      <c r="BJ254"/>
      <c r="BK254"/>
      <c r="BL254"/>
      <c r="BM254"/>
      <c r="BN254"/>
      <c r="BO254"/>
      <c r="BP254"/>
      <c r="BQ254" s="55"/>
      <c r="BR254"/>
      <c r="BS254"/>
      <c r="BT254"/>
      <c r="BU254"/>
      <c r="BV254"/>
      <c r="BW254"/>
      <c r="BX254"/>
      <c r="BY254"/>
      <c r="BZ254"/>
      <c r="CA254"/>
      <c r="CB254"/>
      <c r="CC254"/>
      <c r="CD254"/>
      <c r="CE254"/>
      <c r="CF254"/>
      <c r="CH254" s="55"/>
      <c r="CI254"/>
      <c r="CJ254" s="16"/>
      <c r="CK254" s="16"/>
      <c r="CL254" s="28"/>
      <c r="CM254" s="28"/>
      <c r="CN254" s="28"/>
      <c r="CO254" s="28"/>
      <c r="CP254" s="28"/>
      <c r="CQ254" s="28"/>
      <c r="CR254" s="28"/>
      <c r="CS254" s="28"/>
      <c r="CT254" s="28"/>
      <c r="CU254" s="28"/>
      <c r="CV254" s="28"/>
      <c r="CW254" s="28"/>
      <c r="CX254" s="28"/>
      <c r="CY254" s="28"/>
      <c r="CZ254" s="28"/>
      <c r="DA254" s="28"/>
      <c r="DB254" s="28"/>
      <c r="DC254" s="28"/>
      <c r="DD254" s="28"/>
      <c r="DF254" s="55"/>
      <c r="DX254" s="28"/>
    </row>
    <row r="255" spans="1:128" s="19" customFormat="1" ht="16" customHeight="1">
      <c r="A255" s="18"/>
      <c r="B255" s="17"/>
      <c r="C255" s="16"/>
      <c r="D255" s="16"/>
      <c r="E255" s="16"/>
      <c r="F255" s="16"/>
      <c r="G255" s="16"/>
      <c r="H255" s="20"/>
      <c r="I255" s="20"/>
      <c r="J255" s="20"/>
      <c r="K255" s="20"/>
      <c r="L255" s="20"/>
      <c r="M255" s="20"/>
      <c r="N255" s="20"/>
      <c r="O255" s="20"/>
      <c r="P255" s="20"/>
      <c r="Q255" s="20"/>
      <c r="R255" s="20"/>
      <c r="S255" s="20"/>
      <c r="T255"/>
      <c r="U255"/>
      <c r="V255"/>
      <c r="W255"/>
      <c r="X255"/>
      <c r="Y255"/>
      <c r="Z255" s="16"/>
      <c r="AA255" s="16"/>
      <c r="AB255" s="55"/>
      <c r="AC255"/>
      <c r="AD255"/>
      <c r="AE255"/>
      <c r="AF255"/>
      <c r="AG255"/>
      <c r="AH255"/>
      <c r="AI255"/>
      <c r="AJ255"/>
      <c r="AK255"/>
      <c r="AL255"/>
      <c r="AM255"/>
      <c r="AN255"/>
      <c r="AO255"/>
      <c r="AP255"/>
      <c r="AQ255"/>
      <c r="AS255" s="55"/>
      <c r="AT255"/>
      <c r="AU255" s="41"/>
      <c r="AV255" s="16"/>
      <c r="AW255" s="16"/>
      <c r="AX255" s="16"/>
      <c r="AY255" s="16"/>
      <c r="AZ255" s="16"/>
      <c r="BA255" s="16"/>
      <c r="BB255" s="16"/>
      <c r="BC255" s="16"/>
      <c r="BD255" s="16"/>
      <c r="BE255" s="16"/>
      <c r="BF255" s="16"/>
      <c r="BG255" s="16"/>
      <c r="BH255" s="16"/>
      <c r="BI255"/>
      <c r="BJ255"/>
      <c r="BK255"/>
      <c r="BL255"/>
      <c r="BM255"/>
      <c r="BN255"/>
      <c r="BO255"/>
      <c r="BP255"/>
      <c r="BQ255" s="55"/>
      <c r="BR255"/>
      <c r="BS255"/>
      <c r="BT255"/>
      <c r="BU255"/>
      <c r="BV255"/>
      <c r="BW255"/>
      <c r="BX255"/>
      <c r="BY255"/>
      <c r="BZ255"/>
      <c r="CA255"/>
      <c r="CB255"/>
      <c r="CC255"/>
      <c r="CD255"/>
      <c r="CE255"/>
      <c r="CF255"/>
      <c r="CH255" s="55"/>
      <c r="CI255"/>
      <c r="CJ255" s="16"/>
      <c r="CK255" s="16"/>
      <c r="CL255" s="28"/>
      <c r="CM255" s="28"/>
      <c r="CN255" s="28"/>
      <c r="CO255" s="28"/>
      <c r="CP255" s="28"/>
      <c r="CQ255" s="28"/>
      <c r="CR255" s="28"/>
      <c r="CS255" s="28"/>
      <c r="CT255" s="28"/>
      <c r="CU255" s="28"/>
      <c r="CV255" s="28"/>
      <c r="CW255" s="28"/>
      <c r="CX255" s="28"/>
      <c r="CY255" s="28"/>
      <c r="CZ255" s="28"/>
      <c r="DA255" s="28"/>
      <c r="DB255" s="28"/>
      <c r="DC255" s="28"/>
      <c r="DD255" s="28"/>
      <c r="DF255" s="55"/>
      <c r="DX255" s="28"/>
    </row>
    <row r="256" spans="1:128" s="19" customFormat="1" ht="16" customHeight="1">
      <c r="A256" s="18"/>
      <c r="B256" s="17"/>
      <c r="C256" s="16"/>
      <c r="D256" s="16"/>
      <c r="E256" s="16"/>
      <c r="F256" s="16"/>
      <c r="G256" s="16"/>
      <c r="H256" s="20"/>
      <c r="I256" s="20"/>
      <c r="J256" s="20"/>
      <c r="K256" s="20"/>
      <c r="L256" s="20"/>
      <c r="M256" s="20"/>
      <c r="N256" s="20"/>
      <c r="O256" s="20"/>
      <c r="P256" s="20"/>
      <c r="Q256" s="20"/>
      <c r="R256" s="20"/>
      <c r="S256" s="20"/>
      <c r="T256"/>
      <c r="U256"/>
      <c r="V256"/>
      <c r="W256"/>
      <c r="X256"/>
      <c r="Y256"/>
      <c r="Z256" s="16"/>
      <c r="AA256" s="16"/>
      <c r="AB256" s="55"/>
      <c r="AC256"/>
      <c r="AD256"/>
      <c r="AE256"/>
      <c r="AF256"/>
      <c r="AG256"/>
      <c r="AH256"/>
      <c r="AI256"/>
      <c r="AJ256"/>
      <c r="AK256"/>
      <c r="AL256"/>
      <c r="AM256"/>
      <c r="AN256"/>
      <c r="AO256"/>
      <c r="AP256"/>
      <c r="AQ256"/>
      <c r="AS256" s="55"/>
      <c r="AT256"/>
      <c r="AU256" s="41"/>
      <c r="AV256" s="16"/>
      <c r="AW256" s="16"/>
      <c r="AX256" s="16"/>
      <c r="AY256" s="16"/>
      <c r="AZ256" s="16"/>
      <c r="BA256" s="16"/>
      <c r="BB256" s="16"/>
      <c r="BC256" s="16"/>
      <c r="BD256" s="16"/>
      <c r="BE256" s="16"/>
      <c r="BF256" s="16"/>
      <c r="BG256" s="16"/>
      <c r="BH256" s="16"/>
      <c r="BI256"/>
      <c r="BJ256"/>
      <c r="BK256"/>
      <c r="BL256"/>
      <c r="BM256"/>
      <c r="BN256"/>
      <c r="BO256"/>
      <c r="BP256"/>
      <c r="BQ256" s="55"/>
      <c r="BR256"/>
      <c r="BS256"/>
      <c r="BT256"/>
      <c r="BU256"/>
      <c r="BV256"/>
      <c r="BW256"/>
      <c r="BX256"/>
      <c r="BY256"/>
      <c r="BZ256"/>
      <c r="CA256"/>
      <c r="CB256"/>
      <c r="CC256"/>
      <c r="CD256"/>
      <c r="CE256"/>
      <c r="CF256"/>
      <c r="CH256" s="55"/>
      <c r="CI256"/>
      <c r="CJ256" s="16"/>
      <c r="CK256" s="16"/>
      <c r="CL256" s="28"/>
      <c r="CM256" s="28"/>
      <c r="CN256" s="28"/>
      <c r="CO256" s="28"/>
      <c r="CP256" s="28"/>
      <c r="CQ256" s="28"/>
      <c r="CR256" s="28"/>
      <c r="CS256" s="28"/>
      <c r="CT256" s="28"/>
      <c r="CU256" s="28"/>
      <c r="CV256" s="28"/>
      <c r="CW256" s="28"/>
      <c r="CX256" s="28"/>
      <c r="CY256" s="28"/>
      <c r="CZ256" s="28"/>
      <c r="DA256" s="28"/>
      <c r="DB256" s="28"/>
      <c r="DC256" s="28"/>
      <c r="DD256" s="28"/>
      <c r="DF256" s="55"/>
      <c r="DX256" s="28"/>
    </row>
    <row r="257" spans="1:128" s="19" customFormat="1" ht="16" customHeight="1">
      <c r="A257" s="18"/>
      <c r="B257" s="17"/>
      <c r="C257" s="16"/>
      <c r="D257" s="16"/>
      <c r="E257" s="16"/>
      <c r="F257" s="16"/>
      <c r="G257" s="16"/>
      <c r="H257" s="20"/>
      <c r="I257" s="20"/>
      <c r="J257" s="20"/>
      <c r="K257" s="20"/>
      <c r="L257" s="20"/>
      <c r="M257" s="20"/>
      <c r="N257" s="20"/>
      <c r="O257" s="20"/>
      <c r="P257" s="20"/>
      <c r="Q257" s="20"/>
      <c r="R257" s="20"/>
      <c r="S257" s="20"/>
      <c r="T257"/>
      <c r="U257"/>
      <c r="V257"/>
      <c r="W257"/>
      <c r="X257"/>
      <c r="Y257"/>
      <c r="Z257" s="16"/>
      <c r="AA257" s="16"/>
      <c r="AB257" s="55"/>
      <c r="AC257"/>
      <c r="AD257"/>
      <c r="AE257"/>
      <c r="AF257"/>
      <c r="AG257"/>
      <c r="AH257"/>
      <c r="AI257"/>
      <c r="AJ257"/>
      <c r="AK257"/>
      <c r="AL257"/>
      <c r="AM257"/>
      <c r="AN257"/>
      <c r="AO257"/>
      <c r="AP257"/>
      <c r="AQ257"/>
      <c r="AS257" s="55"/>
      <c r="AT257"/>
      <c r="AU257" s="41"/>
      <c r="AV257" s="16"/>
      <c r="AW257" s="16"/>
      <c r="AX257" s="16"/>
      <c r="AY257" s="16"/>
      <c r="AZ257" s="16"/>
      <c r="BA257" s="16"/>
      <c r="BB257" s="16"/>
      <c r="BC257" s="16"/>
      <c r="BD257" s="16"/>
      <c r="BE257" s="16"/>
      <c r="BF257" s="16"/>
      <c r="BG257" s="16"/>
      <c r="BH257" s="16"/>
      <c r="BI257"/>
      <c r="BJ257"/>
      <c r="BK257"/>
      <c r="BL257"/>
      <c r="BM257"/>
      <c r="BN257"/>
      <c r="BO257"/>
      <c r="BP257"/>
      <c r="BQ257" s="55"/>
      <c r="BR257"/>
      <c r="BS257"/>
      <c r="BT257"/>
      <c r="BU257"/>
      <c r="BV257"/>
      <c r="BW257"/>
      <c r="BX257"/>
      <c r="BY257"/>
      <c r="BZ257"/>
      <c r="CA257"/>
      <c r="CB257"/>
      <c r="CC257"/>
      <c r="CD257"/>
      <c r="CE257"/>
      <c r="CF257"/>
      <c r="CH257" s="55"/>
      <c r="CI257"/>
      <c r="CJ257" s="16"/>
      <c r="CK257" s="16"/>
      <c r="CL257" s="28"/>
      <c r="CM257" s="28"/>
      <c r="CN257" s="28"/>
      <c r="CO257" s="28"/>
      <c r="CP257" s="28"/>
      <c r="CQ257" s="28"/>
      <c r="CR257" s="28"/>
      <c r="CS257" s="28"/>
      <c r="CT257" s="28"/>
      <c r="CU257" s="28"/>
      <c r="CV257" s="28"/>
      <c r="CW257" s="28"/>
      <c r="CX257" s="28"/>
      <c r="CY257" s="28"/>
      <c r="CZ257" s="28"/>
      <c r="DA257" s="28"/>
      <c r="DB257" s="28"/>
      <c r="DC257" s="28"/>
      <c r="DD257" s="28"/>
      <c r="DF257" s="55"/>
      <c r="DX257" s="28"/>
    </row>
    <row r="258" spans="1:128" s="19" customFormat="1" ht="16" customHeight="1">
      <c r="A258" s="18"/>
      <c r="B258" s="17"/>
      <c r="C258" s="16"/>
      <c r="D258" s="16"/>
      <c r="E258" s="16"/>
      <c r="F258" s="16"/>
      <c r="G258" s="16"/>
      <c r="H258" s="20"/>
      <c r="I258" s="20"/>
      <c r="J258" s="20"/>
      <c r="K258" s="20"/>
      <c r="L258" s="20"/>
      <c r="M258" s="20"/>
      <c r="N258" s="20"/>
      <c r="O258" s="20"/>
      <c r="P258" s="20"/>
      <c r="Q258" s="20"/>
      <c r="R258" s="20"/>
      <c r="S258" s="20"/>
      <c r="T258"/>
      <c r="U258"/>
      <c r="V258"/>
      <c r="W258"/>
      <c r="X258"/>
      <c r="Y258"/>
      <c r="Z258" s="16"/>
      <c r="AA258" s="16"/>
      <c r="AB258" s="55"/>
      <c r="AC258"/>
      <c r="AD258"/>
      <c r="AE258"/>
      <c r="AF258"/>
      <c r="AG258"/>
      <c r="AH258"/>
      <c r="AI258"/>
      <c r="AJ258"/>
      <c r="AK258"/>
      <c r="AL258"/>
      <c r="AM258"/>
      <c r="AN258"/>
      <c r="AO258"/>
      <c r="AP258"/>
      <c r="AQ258"/>
      <c r="AS258" s="55"/>
      <c r="AT258"/>
      <c r="AU258" s="41"/>
      <c r="AV258" s="16"/>
      <c r="AW258" s="16"/>
      <c r="AX258" s="16"/>
      <c r="AY258" s="16"/>
      <c r="AZ258" s="16"/>
      <c r="BA258" s="16"/>
      <c r="BB258" s="16"/>
      <c r="BC258" s="16"/>
      <c r="BD258" s="16"/>
      <c r="BE258" s="16"/>
      <c r="BF258" s="16"/>
      <c r="BG258" s="16"/>
      <c r="BH258" s="16"/>
      <c r="BI258"/>
      <c r="BJ258"/>
      <c r="BK258"/>
      <c r="BL258"/>
      <c r="BM258"/>
      <c r="BN258"/>
      <c r="BO258"/>
      <c r="BP258"/>
      <c r="BQ258" s="55"/>
      <c r="BR258"/>
      <c r="BS258"/>
      <c r="BT258"/>
      <c r="BU258"/>
      <c r="BV258"/>
      <c r="BW258"/>
      <c r="BX258"/>
      <c r="BY258"/>
      <c r="BZ258"/>
      <c r="CA258"/>
      <c r="CB258"/>
      <c r="CC258"/>
      <c r="CD258"/>
      <c r="CE258"/>
      <c r="CF258"/>
      <c r="CH258" s="55"/>
      <c r="CI258"/>
      <c r="CJ258" s="16"/>
      <c r="CK258" s="16"/>
      <c r="CL258" s="28"/>
      <c r="CM258" s="28"/>
      <c r="CN258" s="28"/>
      <c r="CO258" s="28"/>
      <c r="CP258" s="28"/>
      <c r="CQ258" s="28"/>
      <c r="CR258" s="28"/>
      <c r="CS258" s="28"/>
      <c r="CT258" s="28"/>
      <c r="CU258" s="28"/>
      <c r="CV258" s="28"/>
      <c r="CW258" s="28"/>
      <c r="CX258" s="28"/>
      <c r="CY258" s="28"/>
      <c r="CZ258" s="28"/>
      <c r="DA258" s="28"/>
      <c r="DB258" s="28"/>
      <c r="DC258" s="28"/>
      <c r="DD258" s="28"/>
      <c r="DF258" s="55"/>
      <c r="DX258" s="28"/>
    </row>
    <row r="259" spans="1:128" s="19" customFormat="1" ht="16" customHeight="1">
      <c r="A259" s="18"/>
      <c r="B259" s="17"/>
      <c r="C259" s="16"/>
      <c r="D259" s="16"/>
      <c r="E259" s="16"/>
      <c r="F259" s="16"/>
      <c r="G259" s="16"/>
      <c r="H259" s="20"/>
      <c r="I259" s="20"/>
      <c r="J259" s="20"/>
      <c r="K259" s="20"/>
      <c r="L259" s="20"/>
      <c r="M259" s="20"/>
      <c r="N259" s="20"/>
      <c r="O259" s="20"/>
      <c r="P259" s="20"/>
      <c r="Q259" s="20"/>
      <c r="R259" s="20"/>
      <c r="S259" s="20"/>
      <c r="T259"/>
      <c r="U259"/>
      <c r="V259"/>
      <c r="W259"/>
      <c r="X259"/>
      <c r="Y259"/>
      <c r="Z259" s="16"/>
      <c r="AA259" s="16"/>
      <c r="AB259" s="55"/>
      <c r="AC259"/>
      <c r="AD259"/>
      <c r="AE259"/>
      <c r="AF259"/>
      <c r="AG259"/>
      <c r="AH259"/>
      <c r="AI259"/>
      <c r="AJ259"/>
      <c r="AK259"/>
      <c r="AL259"/>
      <c r="AM259"/>
      <c r="AN259"/>
      <c r="AO259"/>
      <c r="AP259"/>
      <c r="AQ259"/>
      <c r="AS259" s="55"/>
      <c r="AT259"/>
      <c r="AU259" s="41"/>
      <c r="AV259" s="16"/>
      <c r="AW259" s="16"/>
      <c r="AX259" s="16"/>
      <c r="AY259" s="16"/>
      <c r="AZ259" s="16"/>
      <c r="BA259" s="16"/>
      <c r="BB259" s="16"/>
      <c r="BC259" s="16"/>
      <c r="BD259" s="16"/>
      <c r="BE259" s="16"/>
      <c r="BF259" s="16"/>
      <c r="BG259" s="16"/>
      <c r="BH259" s="16"/>
      <c r="BI259"/>
      <c r="BJ259"/>
      <c r="BK259"/>
      <c r="BL259"/>
      <c r="BM259"/>
      <c r="BN259"/>
      <c r="BO259"/>
      <c r="BP259"/>
      <c r="BQ259" s="55"/>
      <c r="BR259"/>
      <c r="BS259"/>
      <c r="BT259"/>
      <c r="BU259"/>
      <c r="BV259"/>
      <c r="BW259"/>
      <c r="BX259"/>
      <c r="BY259"/>
      <c r="BZ259"/>
      <c r="CA259"/>
      <c r="CB259"/>
      <c r="CC259"/>
      <c r="CD259"/>
      <c r="CE259"/>
      <c r="CF259"/>
      <c r="CH259" s="55"/>
      <c r="CI259"/>
      <c r="CJ259" s="16"/>
      <c r="CK259" s="16"/>
      <c r="CL259" s="28"/>
      <c r="CM259" s="28"/>
      <c r="CN259" s="28"/>
      <c r="CO259" s="28"/>
      <c r="CP259" s="28"/>
      <c r="CQ259" s="28"/>
      <c r="CR259" s="28"/>
      <c r="CS259" s="28"/>
      <c r="CT259" s="28"/>
      <c r="CU259" s="28"/>
      <c r="CV259" s="28"/>
      <c r="CW259" s="28"/>
      <c r="CX259" s="28"/>
      <c r="CY259" s="28"/>
      <c r="CZ259" s="28"/>
      <c r="DA259" s="28"/>
      <c r="DB259" s="28"/>
      <c r="DC259" s="28"/>
      <c r="DD259" s="28"/>
      <c r="DF259" s="55"/>
      <c r="DX259" s="28"/>
    </row>
    <row r="260" spans="1:128" s="19" customFormat="1" ht="16" customHeight="1">
      <c r="A260" s="18"/>
      <c r="B260" s="17"/>
      <c r="C260" s="16"/>
      <c r="D260" s="16"/>
      <c r="E260" s="16"/>
      <c r="F260" s="16"/>
      <c r="G260" s="16"/>
      <c r="H260" s="20"/>
      <c r="I260" s="20"/>
      <c r="J260" s="20"/>
      <c r="K260" s="20"/>
      <c r="L260" s="20"/>
      <c r="M260" s="20"/>
      <c r="N260" s="20"/>
      <c r="O260" s="20"/>
      <c r="P260" s="20"/>
      <c r="Q260" s="20"/>
      <c r="R260" s="20"/>
      <c r="S260" s="20"/>
      <c r="T260"/>
      <c r="U260"/>
      <c r="V260"/>
      <c r="W260"/>
      <c r="X260"/>
      <c r="Y260"/>
      <c r="Z260" s="16"/>
      <c r="AA260" s="16"/>
      <c r="AB260" s="55"/>
      <c r="AC260"/>
      <c r="AD260"/>
      <c r="AE260"/>
      <c r="AF260"/>
      <c r="AG260"/>
      <c r="AH260"/>
      <c r="AI260"/>
      <c r="AJ260"/>
      <c r="AK260"/>
      <c r="AL260"/>
      <c r="AM260"/>
      <c r="AN260"/>
      <c r="AO260"/>
      <c r="AP260"/>
      <c r="AQ260"/>
      <c r="AS260" s="55"/>
      <c r="AT260"/>
      <c r="AU260" s="41"/>
      <c r="AV260" s="16"/>
      <c r="AW260" s="16"/>
      <c r="AX260" s="16"/>
      <c r="AY260" s="16"/>
      <c r="AZ260" s="16"/>
      <c r="BA260" s="16"/>
      <c r="BB260" s="16"/>
      <c r="BC260" s="16"/>
      <c r="BD260" s="16"/>
      <c r="BE260" s="16"/>
      <c r="BF260" s="16"/>
      <c r="BG260" s="16"/>
      <c r="BH260" s="16"/>
      <c r="BI260"/>
      <c r="BJ260"/>
      <c r="BK260"/>
      <c r="BL260"/>
      <c r="BM260"/>
      <c r="BN260"/>
      <c r="BO260"/>
      <c r="BP260"/>
      <c r="BQ260" s="55"/>
      <c r="BR260"/>
      <c r="BS260"/>
      <c r="BT260"/>
      <c r="BU260"/>
      <c r="BV260"/>
      <c r="BW260"/>
      <c r="BX260"/>
      <c r="BY260"/>
      <c r="BZ260"/>
      <c r="CA260"/>
      <c r="CB260"/>
      <c r="CC260"/>
      <c r="CD260"/>
      <c r="CE260"/>
      <c r="CF260"/>
      <c r="CH260" s="55"/>
      <c r="CI260"/>
      <c r="CJ260" s="16"/>
      <c r="CK260" s="16"/>
      <c r="CL260" s="28"/>
      <c r="CM260" s="28"/>
      <c r="CN260" s="28"/>
      <c r="CO260" s="28"/>
      <c r="CP260" s="28"/>
      <c r="CQ260" s="28"/>
      <c r="CR260" s="28"/>
      <c r="CS260" s="28"/>
      <c r="CT260" s="28"/>
      <c r="CU260" s="28"/>
      <c r="CV260" s="28"/>
      <c r="CW260" s="28"/>
      <c r="CX260" s="28"/>
      <c r="CY260" s="28"/>
      <c r="CZ260" s="28"/>
      <c r="DA260" s="28"/>
      <c r="DB260" s="28"/>
      <c r="DC260" s="28"/>
      <c r="DD260" s="28"/>
      <c r="DF260" s="55"/>
      <c r="DX260" s="28"/>
    </row>
    <row r="261" spans="1:128" s="19" customFormat="1" ht="16" customHeight="1">
      <c r="A261" s="18"/>
      <c r="B261" s="17"/>
      <c r="C261" s="16"/>
      <c r="D261" s="16"/>
      <c r="E261" s="16"/>
      <c r="F261" s="16"/>
      <c r="G261" s="16"/>
      <c r="H261" s="20"/>
      <c r="I261" s="20"/>
      <c r="J261" s="20"/>
      <c r="K261" s="20"/>
      <c r="L261" s="20"/>
      <c r="M261" s="20"/>
      <c r="N261" s="20"/>
      <c r="O261" s="20"/>
      <c r="P261" s="20"/>
      <c r="Q261" s="20"/>
      <c r="R261" s="20"/>
      <c r="S261" s="20"/>
      <c r="T261"/>
      <c r="U261"/>
      <c r="V261"/>
      <c r="W261"/>
      <c r="X261"/>
      <c r="Y261"/>
      <c r="Z261" s="16"/>
      <c r="AA261" s="16"/>
      <c r="AB261" s="55"/>
      <c r="AC261"/>
      <c r="AD261"/>
      <c r="AE261"/>
      <c r="AF261"/>
      <c r="AG261"/>
      <c r="AH261"/>
      <c r="AI261"/>
      <c r="AJ261"/>
      <c r="AK261"/>
      <c r="AL261"/>
      <c r="AM261"/>
      <c r="AN261"/>
      <c r="AO261"/>
      <c r="AP261"/>
      <c r="AQ261"/>
      <c r="AS261" s="55"/>
      <c r="AT261"/>
      <c r="AU261" s="41"/>
      <c r="AV261" s="16"/>
      <c r="AW261" s="16"/>
      <c r="AX261" s="16"/>
      <c r="AY261" s="16"/>
      <c r="AZ261" s="16"/>
      <c r="BA261" s="16"/>
      <c r="BB261" s="16"/>
      <c r="BC261" s="16"/>
      <c r="BD261" s="16"/>
      <c r="BE261" s="16"/>
      <c r="BF261" s="16"/>
      <c r="BG261" s="16"/>
      <c r="BH261" s="16"/>
      <c r="BI261"/>
      <c r="BJ261"/>
      <c r="BK261"/>
      <c r="BL261"/>
      <c r="BM261"/>
      <c r="BN261"/>
      <c r="BO261"/>
      <c r="BP261"/>
      <c r="BQ261" s="55"/>
      <c r="BR261"/>
      <c r="BS261"/>
      <c r="BT261"/>
      <c r="BU261"/>
      <c r="BV261"/>
      <c r="BW261"/>
      <c r="BX261"/>
      <c r="BY261"/>
      <c r="BZ261"/>
      <c r="CA261"/>
      <c r="CB261"/>
      <c r="CC261"/>
      <c r="CD261"/>
      <c r="CE261"/>
      <c r="CF261"/>
      <c r="CH261" s="55"/>
      <c r="CI261"/>
      <c r="CJ261" s="16"/>
      <c r="CK261" s="16"/>
      <c r="CL261" s="28"/>
      <c r="CM261" s="28"/>
      <c r="CN261" s="28"/>
      <c r="CO261" s="28"/>
      <c r="CP261" s="28"/>
      <c r="CQ261" s="28"/>
      <c r="CR261" s="28"/>
      <c r="CS261" s="28"/>
      <c r="CT261" s="28"/>
      <c r="CU261" s="28"/>
      <c r="CV261" s="28"/>
      <c r="CW261" s="28"/>
      <c r="CX261" s="28"/>
      <c r="CY261" s="28"/>
      <c r="CZ261" s="28"/>
      <c r="DA261" s="28"/>
      <c r="DB261" s="28"/>
      <c r="DC261" s="28"/>
      <c r="DD261" s="28"/>
      <c r="DF261" s="55"/>
      <c r="DX261" s="28"/>
    </row>
    <row r="262" spans="1:128" s="19" customFormat="1" ht="16" customHeight="1">
      <c r="A262" s="18"/>
      <c r="B262" s="17"/>
      <c r="C262" s="16"/>
      <c r="D262" s="16"/>
      <c r="E262" s="16"/>
      <c r="F262" s="16"/>
      <c r="G262" s="16"/>
      <c r="H262" s="20"/>
      <c r="I262" s="20"/>
      <c r="J262" s="20"/>
      <c r="K262" s="20"/>
      <c r="L262" s="20"/>
      <c r="M262" s="20"/>
      <c r="N262" s="20"/>
      <c r="O262" s="20"/>
      <c r="P262" s="20"/>
      <c r="Q262" s="20"/>
      <c r="R262" s="20"/>
      <c r="S262" s="20"/>
      <c r="T262"/>
      <c r="U262"/>
      <c r="V262"/>
      <c r="W262"/>
      <c r="X262"/>
      <c r="Y262"/>
      <c r="Z262" s="16"/>
      <c r="AA262" s="16"/>
      <c r="AB262" s="55"/>
      <c r="AC262"/>
      <c r="AD262"/>
      <c r="AE262"/>
      <c r="AF262"/>
      <c r="AG262"/>
      <c r="AH262"/>
      <c r="AI262"/>
      <c r="AJ262"/>
      <c r="AK262"/>
      <c r="AL262"/>
      <c r="AM262"/>
      <c r="AN262"/>
      <c r="AO262"/>
      <c r="AP262"/>
      <c r="AQ262"/>
      <c r="AS262" s="55"/>
      <c r="AT262"/>
      <c r="AU262" s="41"/>
      <c r="AV262" s="16"/>
      <c r="AW262" s="16"/>
      <c r="AX262" s="16"/>
      <c r="AY262" s="16"/>
      <c r="AZ262" s="16"/>
      <c r="BA262" s="16"/>
      <c r="BB262" s="16"/>
      <c r="BC262" s="16"/>
      <c r="BD262" s="16"/>
      <c r="BE262" s="16"/>
      <c r="BF262" s="16"/>
      <c r="BG262" s="16"/>
      <c r="BH262" s="16"/>
      <c r="BI262"/>
      <c r="BJ262"/>
      <c r="BK262"/>
      <c r="BL262"/>
      <c r="BM262"/>
      <c r="BN262"/>
      <c r="BO262"/>
      <c r="BP262"/>
      <c r="BQ262" s="55"/>
      <c r="BR262"/>
      <c r="BS262"/>
      <c r="BT262"/>
      <c r="BU262"/>
      <c r="BV262"/>
      <c r="BW262"/>
      <c r="BX262"/>
      <c r="BY262"/>
      <c r="BZ262"/>
      <c r="CA262"/>
      <c r="CB262"/>
      <c r="CC262"/>
      <c r="CD262"/>
      <c r="CE262"/>
      <c r="CF262"/>
      <c r="CH262" s="55"/>
      <c r="CI262"/>
      <c r="CJ262" s="16"/>
      <c r="CK262" s="16"/>
      <c r="CL262" s="28"/>
      <c r="CM262" s="28"/>
      <c r="CN262" s="28"/>
      <c r="CO262" s="28"/>
      <c r="CP262" s="28"/>
      <c r="CQ262" s="28"/>
      <c r="CR262" s="28"/>
      <c r="CS262" s="28"/>
      <c r="CT262" s="28"/>
      <c r="CU262" s="28"/>
      <c r="CV262" s="28"/>
      <c r="CW262" s="28"/>
      <c r="CX262" s="28"/>
      <c r="CY262" s="28"/>
      <c r="CZ262" s="28"/>
      <c r="DA262" s="28"/>
      <c r="DB262" s="28"/>
      <c r="DC262" s="28"/>
      <c r="DD262" s="28"/>
      <c r="DF262" s="55"/>
      <c r="DX262" s="28"/>
    </row>
    <row r="263" spans="1:128" s="19" customFormat="1" ht="16" customHeight="1">
      <c r="A263" s="18"/>
      <c r="B263" s="17"/>
      <c r="C263" s="16"/>
      <c r="D263" s="16"/>
      <c r="E263" s="16"/>
      <c r="F263" s="16"/>
      <c r="G263" s="16"/>
      <c r="H263" s="20"/>
      <c r="I263" s="20"/>
      <c r="J263" s="20"/>
      <c r="K263" s="20"/>
      <c r="L263" s="20"/>
      <c r="M263" s="20"/>
      <c r="N263" s="20"/>
      <c r="O263" s="20"/>
      <c r="P263" s="20"/>
      <c r="Q263" s="20"/>
      <c r="R263" s="20"/>
      <c r="S263" s="20"/>
      <c r="T263"/>
      <c r="U263"/>
      <c r="V263"/>
      <c r="W263"/>
      <c r="X263"/>
      <c r="Y263"/>
      <c r="Z263" s="16"/>
      <c r="AA263" s="16"/>
      <c r="AB263" s="55"/>
      <c r="AC263"/>
      <c r="AD263"/>
      <c r="AE263"/>
      <c r="AF263"/>
      <c r="AG263"/>
      <c r="AH263"/>
      <c r="AI263"/>
      <c r="AJ263"/>
      <c r="AK263"/>
      <c r="AL263"/>
      <c r="AM263"/>
      <c r="AN263"/>
      <c r="AO263"/>
      <c r="AP263"/>
      <c r="AQ263"/>
      <c r="AS263" s="55"/>
      <c r="AT263"/>
      <c r="AU263" s="41"/>
      <c r="AV263" s="16"/>
      <c r="AW263" s="16"/>
      <c r="AX263" s="16"/>
      <c r="AY263" s="16"/>
      <c r="AZ263" s="16"/>
      <c r="BA263" s="16"/>
      <c r="BB263" s="16"/>
      <c r="BC263" s="16"/>
      <c r="BD263" s="16"/>
      <c r="BE263" s="16"/>
      <c r="BF263" s="16"/>
      <c r="BG263" s="16"/>
      <c r="BH263" s="16"/>
      <c r="BI263"/>
      <c r="BJ263"/>
      <c r="BK263"/>
      <c r="BL263"/>
      <c r="BM263"/>
      <c r="BN263"/>
      <c r="BO263"/>
      <c r="BP263"/>
      <c r="BQ263" s="55"/>
      <c r="BR263"/>
      <c r="BS263"/>
      <c r="BT263"/>
      <c r="BU263"/>
      <c r="BV263"/>
      <c r="BW263"/>
      <c r="BX263"/>
      <c r="BY263"/>
      <c r="BZ263"/>
      <c r="CA263"/>
      <c r="CB263"/>
      <c r="CC263"/>
      <c r="CD263"/>
      <c r="CE263"/>
      <c r="CF263"/>
      <c r="CH263" s="55"/>
      <c r="CI263"/>
      <c r="CJ263" s="16"/>
      <c r="CK263" s="16"/>
      <c r="CL263" s="28"/>
      <c r="CM263" s="28"/>
      <c r="CN263" s="28"/>
      <c r="CO263" s="28"/>
      <c r="CP263" s="28"/>
      <c r="CQ263" s="28"/>
      <c r="CR263" s="28"/>
      <c r="CS263" s="28"/>
      <c r="CT263" s="28"/>
      <c r="CU263" s="28"/>
      <c r="CV263" s="28"/>
      <c r="CW263" s="28"/>
      <c r="CX263" s="28"/>
      <c r="CY263" s="28"/>
      <c r="CZ263" s="28"/>
      <c r="DA263" s="28"/>
      <c r="DB263" s="28"/>
      <c r="DC263" s="28"/>
      <c r="DD263" s="28"/>
      <c r="DF263" s="55"/>
      <c r="DX263" s="28"/>
    </row>
    <row r="264" spans="1:128" s="19" customFormat="1" ht="16" customHeight="1">
      <c r="A264" s="18"/>
      <c r="B264" s="17"/>
      <c r="C264" s="16"/>
      <c r="D264" s="16"/>
      <c r="E264" s="16"/>
      <c r="F264" s="16"/>
      <c r="G264" s="16"/>
      <c r="H264" s="20"/>
      <c r="I264" s="20"/>
      <c r="J264" s="20"/>
      <c r="K264" s="20"/>
      <c r="L264" s="20"/>
      <c r="M264" s="20"/>
      <c r="N264" s="20"/>
      <c r="O264" s="20"/>
      <c r="P264" s="20"/>
      <c r="Q264" s="20"/>
      <c r="R264" s="20"/>
      <c r="S264" s="20"/>
      <c r="T264"/>
      <c r="U264"/>
      <c r="V264"/>
      <c r="W264"/>
      <c r="X264"/>
      <c r="Y264"/>
      <c r="Z264" s="16"/>
      <c r="AA264" s="16"/>
      <c r="AB264" s="55"/>
      <c r="AC264"/>
      <c r="AD264"/>
      <c r="AE264"/>
      <c r="AF264"/>
      <c r="AG264"/>
      <c r="AH264"/>
      <c r="AI264"/>
      <c r="AJ264"/>
      <c r="AK264"/>
      <c r="AL264"/>
      <c r="AM264"/>
      <c r="AN264"/>
      <c r="AO264"/>
      <c r="AP264"/>
      <c r="AQ264"/>
      <c r="AS264" s="55"/>
      <c r="AT264"/>
      <c r="AU264" s="41"/>
      <c r="AV264" s="16"/>
      <c r="AW264" s="16"/>
      <c r="AX264" s="16"/>
      <c r="AY264" s="16"/>
      <c r="AZ264" s="16"/>
      <c r="BA264" s="16"/>
      <c r="BB264" s="16"/>
      <c r="BC264" s="16"/>
      <c r="BD264" s="16"/>
      <c r="BE264" s="16"/>
      <c r="BF264" s="16"/>
      <c r="BG264" s="16"/>
      <c r="BH264" s="16"/>
      <c r="BI264"/>
      <c r="BJ264"/>
      <c r="BK264"/>
      <c r="BL264"/>
      <c r="BM264"/>
      <c r="BN264"/>
      <c r="BO264"/>
      <c r="BP264"/>
      <c r="BQ264" s="55"/>
      <c r="BR264"/>
      <c r="BS264"/>
      <c r="BT264"/>
      <c r="BU264"/>
      <c r="BV264"/>
      <c r="BW264"/>
      <c r="BX264"/>
      <c r="BY264"/>
      <c r="BZ264"/>
      <c r="CA264"/>
      <c r="CB264"/>
      <c r="CC264"/>
      <c r="CD264"/>
      <c r="CE264"/>
      <c r="CF264"/>
      <c r="CH264" s="55"/>
      <c r="CI264"/>
      <c r="CJ264" s="16"/>
      <c r="CK264" s="16"/>
      <c r="CL264" s="28"/>
      <c r="CM264" s="28"/>
      <c r="CN264" s="28"/>
      <c r="CO264" s="28"/>
      <c r="CP264" s="28"/>
      <c r="CQ264" s="28"/>
      <c r="CR264" s="28"/>
      <c r="CS264" s="28"/>
      <c r="CT264" s="28"/>
      <c r="CU264" s="28"/>
      <c r="CV264" s="28"/>
      <c r="CW264" s="28"/>
      <c r="CX264" s="28"/>
      <c r="CY264" s="28"/>
      <c r="CZ264" s="28"/>
      <c r="DA264" s="28"/>
      <c r="DB264" s="28"/>
      <c r="DC264" s="28"/>
      <c r="DD264" s="28"/>
      <c r="DF264" s="55"/>
      <c r="DX264" s="28"/>
    </row>
    <row r="265" spans="1:128" s="19" customFormat="1" ht="16" customHeight="1">
      <c r="A265" s="18"/>
      <c r="B265" s="17"/>
      <c r="C265" s="16"/>
      <c r="D265" s="16"/>
      <c r="E265" s="16"/>
      <c r="F265" s="16"/>
      <c r="G265" s="16"/>
      <c r="H265" s="20"/>
      <c r="I265" s="20"/>
      <c r="J265" s="20"/>
      <c r="K265" s="20"/>
      <c r="L265" s="20"/>
      <c r="M265" s="20"/>
      <c r="N265" s="20"/>
      <c r="O265" s="20"/>
      <c r="P265" s="20"/>
      <c r="Q265" s="20"/>
      <c r="R265" s="20"/>
      <c r="S265" s="20"/>
      <c r="T265"/>
      <c r="U265"/>
      <c r="V265"/>
      <c r="W265"/>
      <c r="X265"/>
      <c r="Y265"/>
      <c r="Z265" s="16"/>
      <c r="AA265" s="16"/>
      <c r="AB265" s="55"/>
      <c r="AC265"/>
      <c r="AD265"/>
      <c r="AE265"/>
      <c r="AF265"/>
      <c r="AG265"/>
      <c r="AH265"/>
      <c r="AI265"/>
      <c r="AJ265"/>
      <c r="AK265"/>
      <c r="AL265"/>
      <c r="AM265"/>
      <c r="AN265"/>
      <c r="AO265"/>
      <c r="AP265"/>
      <c r="AQ265"/>
      <c r="AS265" s="55"/>
      <c r="AT265"/>
      <c r="AU265" s="41"/>
      <c r="AV265" s="16"/>
      <c r="AW265" s="16"/>
      <c r="AX265" s="16"/>
      <c r="AY265" s="16"/>
      <c r="AZ265" s="16"/>
      <c r="BA265" s="16"/>
      <c r="BB265" s="16"/>
      <c r="BC265" s="16"/>
      <c r="BD265" s="16"/>
      <c r="BE265" s="16"/>
      <c r="BF265" s="16"/>
      <c r="BG265" s="16"/>
      <c r="BH265" s="16"/>
      <c r="BI265"/>
      <c r="BJ265"/>
      <c r="BK265"/>
      <c r="BL265"/>
      <c r="BM265"/>
      <c r="BN265"/>
      <c r="BO265"/>
      <c r="BP265"/>
      <c r="BQ265" s="55"/>
      <c r="BR265"/>
      <c r="BS265"/>
      <c r="BT265"/>
      <c r="BU265"/>
      <c r="BV265"/>
      <c r="BW265"/>
      <c r="BX265"/>
      <c r="BY265"/>
      <c r="BZ265"/>
      <c r="CA265"/>
      <c r="CB265"/>
      <c r="CC265"/>
      <c r="CD265"/>
      <c r="CE265"/>
      <c r="CF265"/>
      <c r="CH265" s="55"/>
      <c r="CI265"/>
      <c r="CJ265" s="16"/>
      <c r="CK265" s="16"/>
      <c r="CL265" s="28"/>
      <c r="CM265" s="28"/>
      <c r="CN265" s="28"/>
      <c r="CO265" s="28"/>
      <c r="CP265" s="28"/>
      <c r="CQ265" s="28"/>
      <c r="CR265" s="28"/>
      <c r="CS265" s="28"/>
      <c r="CT265" s="28"/>
      <c r="CU265" s="28"/>
      <c r="CV265" s="28"/>
      <c r="CW265" s="28"/>
      <c r="CX265" s="28"/>
      <c r="CY265" s="28"/>
      <c r="CZ265" s="28"/>
      <c r="DA265" s="28"/>
      <c r="DB265" s="28"/>
      <c r="DC265" s="28"/>
      <c r="DD265" s="28"/>
      <c r="DF265" s="55"/>
      <c r="DX265" s="28"/>
    </row>
    <row r="266" spans="1:128" s="19" customFormat="1" ht="16" customHeight="1">
      <c r="A266" s="18"/>
      <c r="B266" s="17"/>
      <c r="C266" s="16"/>
      <c r="D266" s="16"/>
      <c r="E266" s="16"/>
      <c r="F266" s="16"/>
      <c r="G266" s="16"/>
      <c r="H266" s="20"/>
      <c r="I266" s="20"/>
      <c r="J266" s="20"/>
      <c r="K266" s="20"/>
      <c r="L266" s="20"/>
      <c r="M266" s="20"/>
      <c r="N266" s="20"/>
      <c r="O266" s="20"/>
      <c r="P266" s="20"/>
      <c r="Q266" s="20"/>
      <c r="R266" s="20"/>
      <c r="S266" s="20"/>
      <c r="T266"/>
      <c r="U266"/>
      <c r="V266"/>
      <c r="W266"/>
      <c r="X266"/>
      <c r="Y266"/>
      <c r="Z266" s="16"/>
      <c r="AA266" s="16"/>
      <c r="AB266" s="55"/>
      <c r="AC266"/>
      <c r="AD266"/>
      <c r="AE266"/>
      <c r="AF266"/>
      <c r="AG266"/>
      <c r="AH266"/>
      <c r="AI266"/>
      <c r="AJ266"/>
      <c r="AK266"/>
      <c r="AL266"/>
      <c r="AM266"/>
      <c r="AN266"/>
      <c r="AO266"/>
      <c r="AP266"/>
      <c r="AQ266"/>
      <c r="AS266" s="55"/>
      <c r="AT266"/>
      <c r="AU266" s="41"/>
      <c r="AV266" s="16"/>
      <c r="AW266" s="16"/>
      <c r="AX266" s="16"/>
      <c r="AY266" s="16"/>
      <c r="AZ266" s="16"/>
      <c r="BA266" s="16"/>
      <c r="BB266" s="16"/>
      <c r="BC266" s="16"/>
      <c r="BD266" s="16"/>
      <c r="BE266" s="16"/>
      <c r="BF266" s="16"/>
      <c r="BG266" s="16"/>
      <c r="BH266" s="16"/>
      <c r="BI266"/>
      <c r="BJ266"/>
      <c r="BK266"/>
      <c r="BL266"/>
      <c r="BM266"/>
      <c r="BN266"/>
      <c r="BO266"/>
      <c r="BP266"/>
      <c r="BQ266" s="55"/>
      <c r="BR266"/>
      <c r="BS266"/>
      <c r="BT266"/>
      <c r="BU266"/>
      <c r="BV266"/>
      <c r="BW266"/>
      <c r="BX266"/>
      <c r="BY266"/>
      <c r="BZ266"/>
      <c r="CA266"/>
      <c r="CB266"/>
      <c r="CC266"/>
      <c r="CD266"/>
      <c r="CE266"/>
      <c r="CF266"/>
      <c r="CH266" s="55"/>
      <c r="CI266"/>
      <c r="CJ266" s="16"/>
      <c r="CK266" s="16"/>
      <c r="CL266" s="28"/>
      <c r="CM266" s="28"/>
      <c r="CN266" s="28"/>
      <c r="CO266" s="28"/>
      <c r="CP266" s="28"/>
      <c r="CQ266" s="28"/>
      <c r="CR266" s="28"/>
      <c r="CS266" s="28"/>
      <c r="CT266" s="28"/>
      <c r="CU266" s="28"/>
      <c r="CV266" s="28"/>
      <c r="CW266" s="28"/>
      <c r="CX266" s="28"/>
      <c r="CY266" s="28"/>
      <c r="CZ266" s="28"/>
      <c r="DA266" s="28"/>
      <c r="DB266" s="28"/>
      <c r="DC266" s="28"/>
      <c r="DD266" s="28"/>
      <c r="DF266" s="55"/>
      <c r="DX266" s="28"/>
    </row>
    <row r="267" spans="1:128" s="19" customFormat="1" ht="16" customHeight="1">
      <c r="A267" s="18"/>
      <c r="B267" s="17"/>
      <c r="C267" s="16"/>
      <c r="D267" s="16"/>
      <c r="E267" s="16"/>
      <c r="F267" s="16"/>
      <c r="G267" s="16"/>
      <c r="H267" s="20"/>
      <c r="I267" s="20"/>
      <c r="J267" s="20"/>
      <c r="K267" s="20"/>
      <c r="L267" s="20"/>
      <c r="M267" s="20"/>
      <c r="N267" s="20"/>
      <c r="O267" s="20"/>
      <c r="P267" s="20"/>
      <c r="Q267" s="20"/>
      <c r="R267" s="20"/>
      <c r="S267" s="20"/>
      <c r="T267"/>
      <c r="U267"/>
      <c r="V267"/>
      <c r="W267"/>
      <c r="X267"/>
      <c r="Y267"/>
      <c r="Z267" s="16"/>
      <c r="AA267" s="16"/>
      <c r="AB267" s="55"/>
      <c r="AC267"/>
      <c r="AD267"/>
      <c r="AE267"/>
      <c r="AF267"/>
      <c r="AG267"/>
      <c r="AH267"/>
      <c r="AI267"/>
      <c r="AJ267"/>
      <c r="AK267"/>
      <c r="AL267"/>
      <c r="AM267"/>
      <c r="AN267"/>
      <c r="AO267"/>
      <c r="AP267"/>
      <c r="AQ267"/>
      <c r="AS267" s="55"/>
      <c r="AT267"/>
      <c r="AU267" s="41"/>
      <c r="AV267" s="16"/>
      <c r="AW267" s="16"/>
      <c r="AX267" s="16"/>
      <c r="AY267" s="16"/>
      <c r="AZ267" s="16"/>
      <c r="BA267" s="16"/>
      <c r="BB267" s="16"/>
      <c r="BC267" s="16"/>
      <c r="BD267" s="16"/>
      <c r="BE267" s="16"/>
      <c r="BF267" s="16"/>
      <c r="BG267" s="16"/>
      <c r="BH267" s="16"/>
      <c r="BI267"/>
      <c r="BJ267"/>
      <c r="BK267"/>
      <c r="BL267"/>
      <c r="BM267"/>
      <c r="BN267"/>
      <c r="BO267"/>
      <c r="BP267"/>
      <c r="BQ267" s="55"/>
      <c r="BR267"/>
      <c r="BS267"/>
      <c r="BT267"/>
      <c r="BU267"/>
      <c r="BV267"/>
      <c r="BW267"/>
      <c r="BX267"/>
      <c r="BY267"/>
      <c r="BZ267"/>
      <c r="CA267"/>
      <c r="CB267"/>
      <c r="CC267"/>
      <c r="CD267"/>
      <c r="CE267"/>
      <c r="CF267"/>
      <c r="CH267" s="55"/>
      <c r="CI267"/>
      <c r="CJ267" s="16"/>
      <c r="CK267" s="16"/>
      <c r="CL267" s="28"/>
      <c r="CM267" s="28"/>
      <c r="CN267" s="28"/>
      <c r="CO267" s="28"/>
      <c r="CP267" s="28"/>
      <c r="CQ267" s="28"/>
      <c r="CR267" s="28"/>
      <c r="CS267" s="28"/>
      <c r="CT267" s="28"/>
      <c r="CU267" s="28"/>
      <c r="CV267" s="28"/>
      <c r="CW267" s="28"/>
      <c r="CX267" s="28"/>
      <c r="CY267" s="28"/>
      <c r="CZ267" s="28"/>
      <c r="DA267" s="28"/>
      <c r="DB267" s="28"/>
      <c r="DC267" s="28"/>
      <c r="DD267" s="28"/>
      <c r="DF267" s="55"/>
      <c r="DX267" s="28"/>
    </row>
    <row r="268" spans="1:128" s="19" customFormat="1" ht="16" customHeight="1">
      <c r="A268" s="18"/>
      <c r="B268" s="17"/>
      <c r="C268" s="16"/>
      <c r="D268" s="16"/>
      <c r="E268" s="16"/>
      <c r="F268" s="16"/>
      <c r="G268" s="16"/>
      <c r="H268" s="20"/>
      <c r="I268" s="20"/>
      <c r="J268" s="20"/>
      <c r="K268" s="20"/>
      <c r="L268" s="20"/>
      <c r="M268" s="20"/>
      <c r="N268" s="20"/>
      <c r="O268" s="20"/>
      <c r="P268" s="20"/>
      <c r="Q268" s="20"/>
      <c r="R268" s="20"/>
      <c r="S268" s="20"/>
      <c r="T268"/>
      <c r="U268"/>
      <c r="V268"/>
      <c r="W268"/>
      <c r="X268"/>
      <c r="Y268"/>
      <c r="Z268" s="16"/>
      <c r="AA268" s="16"/>
      <c r="AB268" s="55"/>
      <c r="AC268"/>
      <c r="AD268"/>
      <c r="AE268"/>
      <c r="AF268"/>
      <c r="AG268"/>
      <c r="AH268"/>
      <c r="AI268"/>
      <c r="AJ268"/>
      <c r="AK268"/>
      <c r="AL268"/>
      <c r="AM268"/>
      <c r="AN268"/>
      <c r="AO268"/>
      <c r="AP268"/>
      <c r="AQ268"/>
      <c r="AS268" s="55"/>
      <c r="AT268"/>
      <c r="AU268" s="41"/>
      <c r="AV268" s="16"/>
      <c r="AW268" s="16"/>
      <c r="AX268" s="16"/>
      <c r="AY268" s="16"/>
      <c r="AZ268" s="16"/>
      <c r="BA268" s="16"/>
      <c r="BB268" s="16"/>
      <c r="BC268" s="16"/>
      <c r="BD268" s="16"/>
      <c r="BE268" s="16"/>
      <c r="BF268" s="16"/>
      <c r="BG268" s="16"/>
      <c r="BH268" s="16"/>
      <c r="BI268"/>
      <c r="BJ268"/>
      <c r="BK268"/>
      <c r="BL268"/>
      <c r="BM268"/>
      <c r="BN268"/>
      <c r="BO268"/>
      <c r="BP268"/>
      <c r="BQ268" s="55"/>
      <c r="BR268"/>
      <c r="BS268"/>
      <c r="BT268"/>
      <c r="BU268"/>
      <c r="BV268"/>
      <c r="BW268"/>
      <c r="BX268"/>
      <c r="BY268"/>
      <c r="BZ268"/>
      <c r="CA268"/>
      <c r="CB268"/>
      <c r="CC268"/>
      <c r="CD268"/>
      <c r="CE268"/>
      <c r="CF268"/>
      <c r="CH268" s="55"/>
      <c r="CI268"/>
      <c r="CJ268" s="16"/>
      <c r="CK268" s="16"/>
      <c r="CL268" s="28"/>
      <c r="CM268" s="28"/>
      <c r="CN268" s="28"/>
      <c r="CO268" s="28"/>
      <c r="CP268" s="28"/>
      <c r="CQ268" s="28"/>
      <c r="CR268" s="28"/>
      <c r="CS268" s="28"/>
      <c r="CT268" s="28"/>
      <c r="CU268" s="28"/>
      <c r="CV268" s="28"/>
      <c r="CW268" s="28"/>
      <c r="CX268" s="28"/>
      <c r="CY268" s="28"/>
      <c r="CZ268" s="28"/>
      <c r="DA268" s="28"/>
      <c r="DB268" s="28"/>
      <c r="DC268" s="28"/>
      <c r="DD268" s="28"/>
      <c r="DF268" s="55"/>
      <c r="DX268" s="28"/>
    </row>
    <row r="269" spans="1:128" s="19" customFormat="1" ht="16" customHeight="1">
      <c r="A269" s="18"/>
      <c r="B269" s="17"/>
      <c r="C269" s="16"/>
      <c r="D269" s="16"/>
      <c r="E269" s="16"/>
      <c r="F269" s="16"/>
      <c r="G269" s="16"/>
      <c r="H269" s="20"/>
      <c r="I269" s="20"/>
      <c r="J269" s="20"/>
      <c r="K269" s="20"/>
      <c r="L269" s="20"/>
      <c r="M269" s="20"/>
      <c r="N269" s="20"/>
      <c r="O269" s="20"/>
      <c r="P269" s="20"/>
      <c r="Q269" s="20"/>
      <c r="R269" s="20"/>
      <c r="S269" s="20"/>
      <c r="T269"/>
      <c r="U269"/>
      <c r="V269"/>
      <c r="W269"/>
      <c r="X269"/>
      <c r="Y269"/>
      <c r="Z269" s="16"/>
      <c r="AA269" s="16"/>
      <c r="AB269" s="55"/>
      <c r="AC269"/>
      <c r="AD269"/>
      <c r="AE269"/>
      <c r="AF269"/>
      <c r="AG269"/>
      <c r="AH269"/>
      <c r="AI269"/>
      <c r="AJ269"/>
      <c r="AK269"/>
      <c r="AL269"/>
      <c r="AM269"/>
      <c r="AN269"/>
      <c r="AO269"/>
      <c r="AP269"/>
      <c r="AQ269"/>
      <c r="AS269" s="55"/>
      <c r="AT269"/>
      <c r="AU269" s="41"/>
      <c r="AV269" s="16"/>
      <c r="AW269" s="16"/>
      <c r="AX269" s="16"/>
      <c r="AY269" s="16"/>
      <c r="AZ269" s="16"/>
      <c r="BA269" s="16"/>
      <c r="BB269" s="16"/>
      <c r="BC269" s="16"/>
      <c r="BD269" s="16"/>
      <c r="BE269" s="16"/>
      <c r="BF269" s="16"/>
      <c r="BG269" s="16"/>
      <c r="BH269" s="16"/>
      <c r="BI269"/>
      <c r="BJ269"/>
      <c r="BK269"/>
      <c r="BL269"/>
      <c r="BM269"/>
      <c r="BN269"/>
      <c r="BO269"/>
      <c r="BP269"/>
      <c r="BQ269" s="55"/>
      <c r="BR269"/>
      <c r="BS269"/>
      <c r="BT269"/>
      <c r="BU269"/>
      <c r="BV269"/>
      <c r="BW269"/>
      <c r="BX269"/>
      <c r="BY269"/>
      <c r="BZ269"/>
      <c r="CA269"/>
      <c r="CB269"/>
      <c r="CC269"/>
      <c r="CD269"/>
      <c r="CE269"/>
      <c r="CF269"/>
      <c r="CH269" s="55"/>
      <c r="CI269"/>
      <c r="CJ269" s="16"/>
      <c r="CK269" s="16"/>
      <c r="CL269" s="28"/>
      <c r="CM269" s="28"/>
      <c r="CN269" s="28"/>
      <c r="CO269" s="28"/>
      <c r="CP269" s="28"/>
      <c r="CQ269" s="28"/>
      <c r="CR269" s="28"/>
      <c r="CS269" s="28"/>
      <c r="CT269" s="28"/>
      <c r="CU269" s="28"/>
      <c r="CV269" s="28"/>
      <c r="CW269" s="28"/>
      <c r="CX269" s="28"/>
      <c r="CY269" s="28"/>
      <c r="CZ269" s="28"/>
      <c r="DA269" s="28"/>
      <c r="DB269" s="28"/>
      <c r="DC269" s="28"/>
      <c r="DD269" s="28"/>
      <c r="DF269" s="55"/>
      <c r="DX269" s="28"/>
    </row>
    <row r="270" spans="1:128" s="19" customFormat="1" ht="16" customHeight="1">
      <c r="A270" s="18"/>
      <c r="B270" s="17"/>
      <c r="C270" s="16"/>
      <c r="D270" s="16"/>
      <c r="E270" s="16"/>
      <c r="F270" s="16"/>
      <c r="G270" s="16"/>
      <c r="H270" s="20"/>
      <c r="I270" s="20"/>
      <c r="J270" s="20"/>
      <c r="K270" s="20"/>
      <c r="L270" s="20"/>
      <c r="M270" s="20"/>
      <c r="N270" s="20"/>
      <c r="O270" s="20"/>
      <c r="P270" s="20"/>
      <c r="Q270" s="20"/>
      <c r="R270" s="20"/>
      <c r="S270" s="20"/>
      <c r="T270"/>
      <c r="U270"/>
      <c r="V270"/>
      <c r="W270"/>
      <c r="X270"/>
      <c r="Y270"/>
      <c r="Z270" s="16"/>
      <c r="AA270" s="16"/>
      <c r="AB270" s="55"/>
      <c r="AC270"/>
      <c r="AD270"/>
      <c r="AE270"/>
      <c r="AF270"/>
      <c r="AG270"/>
      <c r="AH270"/>
      <c r="AI270"/>
      <c r="AJ270"/>
      <c r="AK270"/>
      <c r="AL270"/>
      <c r="AM270"/>
      <c r="AN270"/>
      <c r="AO270"/>
      <c r="AP270"/>
      <c r="AQ270"/>
      <c r="AS270" s="55"/>
      <c r="AT270"/>
      <c r="AU270" s="41"/>
      <c r="AV270" s="16"/>
      <c r="AW270" s="16"/>
      <c r="AX270" s="16"/>
      <c r="AY270" s="16"/>
      <c r="AZ270" s="16"/>
      <c r="BA270" s="16"/>
      <c r="BB270" s="16"/>
      <c r="BC270" s="16"/>
      <c r="BD270" s="16"/>
      <c r="BE270" s="16"/>
      <c r="BF270" s="16"/>
      <c r="BG270" s="16"/>
      <c r="BH270" s="16"/>
      <c r="BI270"/>
      <c r="BJ270"/>
      <c r="BK270"/>
      <c r="BL270"/>
      <c r="BM270"/>
      <c r="BN270"/>
      <c r="BO270"/>
      <c r="BP270"/>
      <c r="BQ270" s="55"/>
      <c r="BR270"/>
      <c r="BS270"/>
      <c r="BT270"/>
      <c r="BU270"/>
      <c r="BV270"/>
      <c r="BW270"/>
      <c r="BX270"/>
      <c r="BY270"/>
      <c r="BZ270"/>
      <c r="CA270"/>
      <c r="CB270"/>
      <c r="CC270"/>
      <c r="CD270"/>
      <c r="CE270"/>
      <c r="CF270"/>
      <c r="CH270" s="55"/>
      <c r="CI270"/>
      <c r="CJ270" s="16"/>
      <c r="CK270" s="16"/>
      <c r="CL270" s="28"/>
      <c r="CM270" s="28"/>
      <c r="CN270" s="28"/>
      <c r="CO270" s="28"/>
      <c r="CP270" s="28"/>
      <c r="CQ270" s="28"/>
      <c r="CR270" s="28"/>
      <c r="CS270" s="28"/>
      <c r="CT270" s="28"/>
      <c r="CU270" s="28"/>
      <c r="CV270" s="28"/>
      <c r="CW270" s="28"/>
      <c r="CX270" s="28"/>
      <c r="CY270" s="28"/>
      <c r="CZ270" s="28"/>
      <c r="DA270" s="28"/>
      <c r="DB270" s="28"/>
      <c r="DC270" s="28"/>
      <c r="DD270" s="28"/>
      <c r="DF270" s="55"/>
      <c r="DX270" s="28"/>
    </row>
    <row r="271" spans="1:128" s="19" customFormat="1" ht="16" customHeight="1">
      <c r="A271" s="18"/>
      <c r="B271" s="17"/>
      <c r="C271" s="16"/>
      <c r="D271" s="16"/>
      <c r="E271" s="16"/>
      <c r="F271" s="16"/>
      <c r="G271" s="16"/>
      <c r="H271" s="20"/>
      <c r="I271" s="20"/>
      <c r="J271" s="20"/>
      <c r="K271" s="20"/>
      <c r="L271" s="20"/>
      <c r="M271" s="20"/>
      <c r="N271" s="20"/>
      <c r="O271" s="20"/>
      <c r="P271" s="20"/>
      <c r="Q271" s="20"/>
      <c r="R271" s="20"/>
      <c r="S271" s="20"/>
      <c r="T271"/>
      <c r="U271"/>
      <c r="V271"/>
      <c r="W271"/>
      <c r="X271"/>
      <c r="Y271"/>
      <c r="Z271" s="16"/>
      <c r="AA271" s="16"/>
      <c r="AB271" s="55"/>
      <c r="AC271"/>
      <c r="AD271"/>
      <c r="AE271"/>
      <c r="AF271"/>
      <c r="AG271"/>
      <c r="AH271"/>
      <c r="AI271"/>
      <c r="AJ271"/>
      <c r="AK271"/>
      <c r="AL271"/>
      <c r="AM271"/>
      <c r="AN271"/>
      <c r="AO271"/>
      <c r="AP271"/>
      <c r="AQ271"/>
      <c r="AS271" s="55"/>
      <c r="AT271"/>
      <c r="AU271" s="41"/>
      <c r="AV271" s="16"/>
      <c r="AW271" s="16"/>
      <c r="AX271" s="16"/>
      <c r="AY271" s="16"/>
      <c r="AZ271" s="16"/>
      <c r="BA271" s="16"/>
      <c r="BB271" s="16"/>
      <c r="BC271" s="16"/>
      <c r="BD271" s="16"/>
      <c r="BE271" s="16"/>
      <c r="BF271" s="16"/>
      <c r="BG271" s="16"/>
      <c r="BH271" s="16"/>
      <c r="BI271"/>
      <c r="BJ271"/>
      <c r="BK271"/>
      <c r="BL271"/>
      <c r="BM271"/>
      <c r="BN271"/>
      <c r="BO271"/>
      <c r="BP271"/>
      <c r="BQ271" s="55"/>
      <c r="BR271"/>
      <c r="BS271"/>
      <c r="BT271"/>
      <c r="BU271"/>
      <c r="BV271"/>
      <c r="BW271"/>
      <c r="BX271"/>
      <c r="BY271"/>
      <c r="BZ271"/>
      <c r="CA271"/>
      <c r="CB271"/>
      <c r="CC271"/>
      <c r="CD271"/>
      <c r="CE271"/>
      <c r="CF271"/>
      <c r="CH271" s="55"/>
      <c r="CI271"/>
      <c r="CJ271" s="16"/>
      <c r="CK271" s="16"/>
      <c r="CL271" s="28"/>
      <c r="CM271" s="28"/>
      <c r="CN271" s="28"/>
      <c r="CO271" s="28"/>
      <c r="CP271" s="28"/>
      <c r="CQ271" s="28"/>
      <c r="CR271" s="28"/>
      <c r="CS271" s="28"/>
      <c r="CT271" s="28"/>
      <c r="CU271" s="28"/>
      <c r="CV271" s="28"/>
      <c r="CW271" s="28"/>
      <c r="CX271" s="28"/>
      <c r="CY271" s="28"/>
      <c r="CZ271" s="28"/>
      <c r="DA271" s="28"/>
      <c r="DB271" s="28"/>
      <c r="DC271" s="28"/>
      <c r="DD271" s="28"/>
      <c r="DF271" s="55"/>
      <c r="DX271" s="28"/>
    </row>
    <row r="272" spans="1:128" s="19" customFormat="1" ht="16" customHeight="1">
      <c r="A272" s="18"/>
      <c r="B272" s="17"/>
      <c r="C272" s="16"/>
      <c r="D272" s="16"/>
      <c r="E272" s="16"/>
      <c r="F272" s="16"/>
      <c r="G272" s="16"/>
      <c r="H272" s="20"/>
      <c r="I272" s="20"/>
      <c r="J272" s="20"/>
      <c r="K272" s="20"/>
      <c r="L272" s="20"/>
      <c r="M272" s="20"/>
      <c r="N272" s="20"/>
      <c r="O272" s="20"/>
      <c r="P272" s="20"/>
      <c r="Q272" s="20"/>
      <c r="R272" s="20"/>
      <c r="S272" s="20"/>
      <c r="T272"/>
      <c r="U272"/>
      <c r="V272"/>
      <c r="W272"/>
      <c r="X272"/>
      <c r="Y272"/>
      <c r="Z272" s="16"/>
      <c r="AA272" s="16"/>
      <c r="AB272" s="55"/>
      <c r="AC272"/>
      <c r="AD272"/>
      <c r="AE272"/>
      <c r="AF272"/>
      <c r="AG272"/>
      <c r="AH272"/>
      <c r="AI272"/>
      <c r="AJ272"/>
      <c r="AK272"/>
      <c r="AL272"/>
      <c r="AM272"/>
      <c r="AN272"/>
      <c r="AO272"/>
      <c r="AP272"/>
      <c r="AQ272"/>
      <c r="AS272" s="55"/>
      <c r="AT272"/>
      <c r="AU272" s="41"/>
      <c r="AV272" s="16"/>
      <c r="AW272" s="16"/>
      <c r="AX272" s="16"/>
      <c r="AY272" s="16"/>
      <c r="AZ272" s="16"/>
      <c r="BA272" s="16"/>
      <c r="BB272" s="16"/>
      <c r="BC272" s="16"/>
      <c r="BD272" s="16"/>
      <c r="BE272" s="16"/>
      <c r="BF272" s="16"/>
      <c r="BG272" s="16"/>
      <c r="BH272" s="16"/>
      <c r="BI272"/>
      <c r="BJ272"/>
      <c r="BK272"/>
      <c r="BL272"/>
      <c r="BM272"/>
      <c r="BN272"/>
      <c r="BO272"/>
      <c r="BP272"/>
      <c r="BQ272" s="55"/>
      <c r="BR272"/>
      <c r="BS272"/>
      <c r="BT272"/>
      <c r="BU272"/>
      <c r="BV272"/>
      <c r="BW272"/>
      <c r="BX272"/>
      <c r="BY272"/>
      <c r="BZ272"/>
      <c r="CA272"/>
      <c r="CB272"/>
      <c r="CC272"/>
      <c r="CD272"/>
      <c r="CE272"/>
      <c r="CF272"/>
      <c r="CH272" s="55"/>
      <c r="CI272"/>
      <c r="CJ272" s="16"/>
      <c r="CK272" s="16"/>
      <c r="CL272" s="28"/>
      <c r="CM272" s="28"/>
      <c r="CN272" s="28"/>
      <c r="CO272" s="28"/>
      <c r="CP272" s="28"/>
      <c r="CQ272" s="28"/>
      <c r="CR272" s="28"/>
      <c r="CS272" s="28"/>
      <c r="CT272" s="28"/>
      <c r="CU272" s="28"/>
      <c r="CV272" s="28"/>
      <c r="CW272" s="28"/>
      <c r="CX272" s="28"/>
      <c r="CY272" s="28"/>
      <c r="CZ272" s="28"/>
      <c r="DA272" s="28"/>
      <c r="DB272" s="28"/>
      <c r="DC272" s="28"/>
      <c r="DD272" s="28"/>
      <c r="DF272" s="55"/>
      <c r="DX272" s="28"/>
    </row>
    <row r="273" spans="1:128" s="19" customFormat="1" ht="16" customHeight="1">
      <c r="A273" s="18"/>
      <c r="B273" s="17"/>
      <c r="C273" s="16"/>
      <c r="D273" s="16"/>
      <c r="E273" s="16"/>
      <c r="F273" s="16"/>
      <c r="G273" s="16"/>
      <c r="H273" s="20"/>
      <c r="I273" s="20"/>
      <c r="J273" s="20"/>
      <c r="K273" s="20"/>
      <c r="L273" s="20"/>
      <c r="M273" s="20"/>
      <c r="N273" s="20"/>
      <c r="O273" s="20"/>
      <c r="P273" s="20"/>
      <c r="Q273" s="20"/>
      <c r="R273" s="20"/>
      <c r="S273" s="20"/>
      <c r="T273"/>
      <c r="U273"/>
      <c r="V273"/>
      <c r="W273"/>
      <c r="X273"/>
      <c r="Y273"/>
      <c r="Z273" s="16"/>
      <c r="AA273" s="16"/>
      <c r="AB273" s="55"/>
      <c r="AC273"/>
      <c r="AD273"/>
      <c r="AE273"/>
      <c r="AF273"/>
      <c r="AG273"/>
      <c r="AH273"/>
      <c r="AI273"/>
      <c r="AJ273"/>
      <c r="AK273"/>
      <c r="AL273"/>
      <c r="AM273"/>
      <c r="AN273"/>
      <c r="AO273"/>
      <c r="AP273"/>
      <c r="AQ273"/>
      <c r="AS273" s="55"/>
      <c r="AT273"/>
      <c r="AU273" s="41"/>
      <c r="AV273" s="16"/>
      <c r="AW273" s="16"/>
      <c r="AX273" s="16"/>
      <c r="AY273" s="16"/>
      <c r="AZ273" s="16"/>
      <c r="BA273" s="16"/>
      <c r="BB273" s="16"/>
      <c r="BC273" s="16"/>
      <c r="BD273" s="16"/>
      <c r="BE273" s="16"/>
      <c r="BF273" s="16"/>
      <c r="BG273" s="16"/>
      <c r="BH273" s="16"/>
      <c r="BI273"/>
      <c r="BJ273"/>
      <c r="BK273"/>
      <c r="BL273"/>
      <c r="BM273"/>
      <c r="BN273"/>
      <c r="BO273"/>
      <c r="BP273"/>
      <c r="BQ273" s="55"/>
      <c r="BR273"/>
      <c r="BS273"/>
      <c r="BT273"/>
      <c r="BU273"/>
      <c r="BV273"/>
      <c r="BW273"/>
      <c r="BX273"/>
      <c r="BY273"/>
      <c r="BZ273"/>
      <c r="CA273"/>
      <c r="CB273"/>
      <c r="CC273"/>
      <c r="CD273"/>
      <c r="CE273"/>
      <c r="CF273"/>
      <c r="CH273" s="55"/>
      <c r="CI273"/>
      <c r="CJ273" s="16"/>
      <c r="CK273" s="16"/>
      <c r="CL273" s="28"/>
      <c r="CM273" s="28"/>
      <c r="CN273" s="28"/>
      <c r="CO273" s="28"/>
      <c r="CP273" s="28"/>
      <c r="CQ273" s="28"/>
      <c r="CR273" s="28"/>
      <c r="CS273" s="28"/>
      <c r="CT273" s="28"/>
      <c r="CU273" s="28"/>
      <c r="CV273" s="28"/>
      <c r="CW273" s="28"/>
      <c r="CX273" s="28"/>
      <c r="CY273" s="28"/>
      <c r="CZ273" s="28"/>
      <c r="DA273" s="28"/>
      <c r="DB273" s="28"/>
      <c r="DC273" s="28"/>
      <c r="DD273" s="28"/>
      <c r="DF273" s="55"/>
      <c r="DX273" s="28"/>
    </row>
    <row r="274" spans="1:128" s="19" customFormat="1" ht="16" customHeight="1">
      <c r="A274" s="18"/>
      <c r="B274" s="17"/>
      <c r="C274" s="16"/>
      <c r="D274" s="16"/>
      <c r="E274" s="16"/>
      <c r="F274" s="16"/>
      <c r="G274" s="16"/>
      <c r="H274" s="20"/>
      <c r="I274" s="20"/>
      <c r="J274" s="20"/>
      <c r="K274" s="20"/>
      <c r="L274" s="20"/>
      <c r="M274" s="20"/>
      <c r="N274" s="20"/>
      <c r="O274" s="20"/>
      <c r="P274" s="20"/>
      <c r="Q274" s="20"/>
      <c r="R274" s="20"/>
      <c r="S274" s="20"/>
      <c r="T274"/>
      <c r="U274"/>
      <c r="V274"/>
      <c r="W274"/>
      <c r="X274"/>
      <c r="Y274"/>
      <c r="Z274" s="16"/>
      <c r="AA274" s="16"/>
      <c r="AB274" s="55"/>
      <c r="AC274"/>
      <c r="AD274"/>
      <c r="AE274"/>
      <c r="AF274"/>
      <c r="AG274"/>
      <c r="AH274"/>
      <c r="AI274"/>
      <c r="AJ274"/>
      <c r="AK274"/>
      <c r="AL274"/>
      <c r="AM274"/>
      <c r="AN274"/>
      <c r="AO274"/>
      <c r="AP274"/>
      <c r="AQ274"/>
      <c r="AS274" s="55"/>
      <c r="AT274"/>
      <c r="AU274" s="41"/>
      <c r="AV274" s="16"/>
      <c r="AW274" s="16"/>
      <c r="AX274" s="16"/>
      <c r="AY274" s="16"/>
      <c r="AZ274" s="16"/>
      <c r="BA274" s="16"/>
      <c r="BB274" s="16"/>
      <c r="BC274" s="16"/>
      <c r="BD274" s="16"/>
      <c r="BE274" s="16"/>
      <c r="BF274" s="16"/>
      <c r="BG274" s="16"/>
      <c r="BH274" s="16"/>
      <c r="BI274"/>
      <c r="BJ274"/>
      <c r="BK274"/>
      <c r="BL274"/>
      <c r="BM274"/>
      <c r="BN274"/>
      <c r="BO274"/>
      <c r="BP274"/>
      <c r="BQ274" s="55"/>
      <c r="BR274"/>
      <c r="BS274"/>
      <c r="BT274"/>
      <c r="BU274"/>
      <c r="BV274"/>
      <c r="BW274"/>
      <c r="BX274"/>
      <c r="BY274"/>
      <c r="BZ274"/>
      <c r="CA274"/>
      <c r="CB274"/>
      <c r="CC274"/>
      <c r="CD274"/>
      <c r="CE274"/>
      <c r="CF274"/>
      <c r="CH274" s="55"/>
      <c r="CI274"/>
      <c r="CJ274" s="16"/>
      <c r="CK274" s="16"/>
      <c r="CL274" s="28"/>
      <c r="CM274" s="28"/>
      <c r="CN274" s="28"/>
      <c r="CO274" s="28"/>
      <c r="CP274" s="28"/>
      <c r="CQ274" s="28"/>
      <c r="CR274" s="28"/>
      <c r="CS274" s="28"/>
      <c r="CT274" s="28"/>
      <c r="CU274" s="28"/>
      <c r="CV274" s="28"/>
      <c r="CW274" s="28"/>
      <c r="CX274" s="28"/>
      <c r="CY274" s="28"/>
      <c r="CZ274" s="28"/>
      <c r="DA274" s="28"/>
      <c r="DB274" s="28"/>
      <c r="DC274" s="28"/>
      <c r="DD274" s="28"/>
      <c r="DF274" s="55"/>
      <c r="DX274" s="28"/>
    </row>
    <row r="275" spans="1:128" s="19" customFormat="1" ht="16" customHeight="1">
      <c r="A275" s="18"/>
      <c r="B275" s="17"/>
      <c r="C275" s="16"/>
      <c r="D275" s="16"/>
      <c r="E275" s="16"/>
      <c r="F275" s="16"/>
      <c r="G275" s="16"/>
      <c r="H275" s="20"/>
      <c r="I275" s="20"/>
      <c r="J275" s="20"/>
      <c r="K275" s="20"/>
      <c r="L275" s="20"/>
      <c r="M275" s="20"/>
      <c r="N275" s="20"/>
      <c r="O275" s="20"/>
      <c r="P275" s="20"/>
      <c r="Q275" s="20"/>
      <c r="R275" s="20"/>
      <c r="S275" s="20"/>
      <c r="T275"/>
      <c r="U275"/>
      <c r="V275"/>
      <c r="W275"/>
      <c r="X275"/>
      <c r="Y275"/>
      <c r="Z275" s="16"/>
      <c r="AA275" s="16"/>
      <c r="AB275" s="55"/>
      <c r="AC275"/>
      <c r="AD275"/>
      <c r="AE275"/>
      <c r="AF275"/>
      <c r="AG275"/>
      <c r="AH275"/>
      <c r="AI275"/>
      <c r="AJ275"/>
      <c r="AK275"/>
      <c r="AL275"/>
      <c r="AM275"/>
      <c r="AN275"/>
      <c r="AO275"/>
      <c r="AP275"/>
      <c r="AQ275"/>
      <c r="AS275" s="55"/>
      <c r="AT275"/>
      <c r="AU275" s="41"/>
      <c r="AV275" s="16"/>
      <c r="AW275" s="16"/>
      <c r="AX275" s="16"/>
      <c r="AY275" s="16"/>
      <c r="AZ275" s="16"/>
      <c r="BA275" s="16"/>
      <c r="BB275" s="16"/>
      <c r="BC275" s="16"/>
      <c r="BD275" s="16"/>
      <c r="BE275" s="16"/>
      <c r="BF275" s="16"/>
      <c r="BG275" s="16"/>
      <c r="BH275" s="16"/>
      <c r="BI275"/>
      <c r="BJ275"/>
      <c r="BK275"/>
      <c r="BL275"/>
      <c r="BM275"/>
      <c r="BN275"/>
      <c r="BO275"/>
      <c r="BP275"/>
      <c r="BQ275" s="55"/>
      <c r="BR275"/>
      <c r="BS275"/>
      <c r="BT275"/>
      <c r="BU275"/>
      <c r="BV275"/>
      <c r="BW275"/>
      <c r="BX275"/>
      <c r="BY275"/>
      <c r="BZ275"/>
      <c r="CA275"/>
      <c r="CB275"/>
      <c r="CC275"/>
      <c r="CD275"/>
      <c r="CE275"/>
      <c r="CF275"/>
      <c r="CH275" s="55"/>
      <c r="CI275"/>
      <c r="CJ275" s="16"/>
      <c r="CK275" s="16"/>
      <c r="CL275" s="28"/>
      <c r="CM275" s="28"/>
      <c r="CN275" s="28"/>
      <c r="CO275" s="28"/>
      <c r="CP275" s="28"/>
      <c r="CQ275" s="28"/>
      <c r="CR275" s="28"/>
      <c r="CS275" s="28"/>
      <c r="CT275" s="28"/>
      <c r="CU275" s="28"/>
      <c r="CV275" s="28"/>
      <c r="CW275" s="28"/>
      <c r="CX275" s="28"/>
      <c r="CY275" s="28"/>
      <c r="CZ275" s="28"/>
      <c r="DA275" s="28"/>
      <c r="DB275" s="28"/>
      <c r="DC275" s="28"/>
      <c r="DD275" s="28"/>
      <c r="DF275" s="55"/>
      <c r="DX275" s="28"/>
    </row>
    <row r="276" spans="1:128" s="19" customFormat="1" ht="16" customHeight="1">
      <c r="A276" s="18"/>
      <c r="B276" s="17"/>
      <c r="C276" s="16"/>
      <c r="D276" s="16"/>
      <c r="E276" s="16"/>
      <c r="F276" s="16"/>
      <c r="G276" s="16"/>
      <c r="H276" s="20"/>
      <c r="I276" s="20"/>
      <c r="J276" s="20"/>
      <c r="K276" s="20"/>
      <c r="L276" s="20"/>
      <c r="M276" s="20"/>
      <c r="N276" s="20"/>
      <c r="O276" s="20"/>
      <c r="P276" s="20"/>
      <c r="Q276" s="20"/>
      <c r="R276" s="20"/>
      <c r="S276" s="20"/>
      <c r="T276"/>
      <c r="U276"/>
      <c r="V276"/>
      <c r="W276"/>
      <c r="X276"/>
      <c r="Y276"/>
      <c r="Z276" s="16"/>
      <c r="AA276" s="16"/>
      <c r="AB276" s="55"/>
      <c r="AC276"/>
      <c r="AD276"/>
      <c r="AE276"/>
      <c r="AF276"/>
      <c r="AG276"/>
      <c r="AH276"/>
      <c r="AI276"/>
      <c r="AJ276"/>
      <c r="AK276"/>
      <c r="AL276"/>
      <c r="AM276"/>
      <c r="AN276"/>
      <c r="AO276"/>
      <c r="AP276"/>
      <c r="AQ276"/>
      <c r="AS276" s="55"/>
      <c r="AT276"/>
      <c r="AU276" s="41"/>
      <c r="AV276" s="16"/>
      <c r="AW276" s="16"/>
      <c r="AX276" s="16"/>
      <c r="AY276" s="16"/>
      <c r="AZ276" s="16"/>
      <c r="BA276" s="16"/>
      <c r="BB276" s="16"/>
      <c r="BC276" s="16"/>
      <c r="BD276" s="16"/>
      <c r="BE276" s="16"/>
      <c r="BF276" s="16"/>
      <c r="BG276" s="16"/>
      <c r="BH276" s="16"/>
      <c r="BI276"/>
      <c r="BJ276"/>
      <c r="BK276"/>
      <c r="BL276"/>
      <c r="BM276"/>
      <c r="BN276"/>
      <c r="BO276"/>
      <c r="BP276"/>
      <c r="BQ276" s="55"/>
      <c r="BR276"/>
      <c r="BS276"/>
      <c r="BT276"/>
      <c r="BU276"/>
      <c r="BV276"/>
      <c r="BW276"/>
      <c r="BX276"/>
      <c r="BY276"/>
      <c r="BZ276"/>
      <c r="CA276"/>
      <c r="CB276"/>
      <c r="CC276"/>
      <c r="CD276"/>
      <c r="CE276"/>
      <c r="CF276"/>
      <c r="CH276" s="55"/>
      <c r="CI276"/>
      <c r="CJ276" s="16"/>
      <c r="CK276" s="16"/>
      <c r="CL276" s="28"/>
      <c r="CM276" s="28"/>
      <c r="CN276" s="28"/>
      <c r="CO276" s="28"/>
      <c r="CP276" s="28"/>
      <c r="CQ276" s="28"/>
      <c r="CR276" s="28"/>
      <c r="CS276" s="28"/>
      <c r="CT276" s="28"/>
      <c r="CU276" s="28"/>
      <c r="CV276" s="28"/>
      <c r="CW276" s="28"/>
      <c r="CX276" s="28"/>
      <c r="CY276" s="28"/>
      <c r="CZ276" s="28"/>
      <c r="DA276" s="28"/>
      <c r="DB276" s="28"/>
      <c r="DC276" s="28"/>
      <c r="DD276" s="28"/>
      <c r="DF276" s="55"/>
      <c r="DX276" s="28"/>
    </row>
    <row r="277" spans="1:128" s="19" customFormat="1" ht="16" customHeight="1">
      <c r="A277" s="18"/>
      <c r="B277" s="17"/>
      <c r="C277" s="16"/>
      <c r="D277" s="16"/>
      <c r="E277" s="16"/>
      <c r="F277" s="16"/>
      <c r="G277" s="16"/>
      <c r="H277" s="20"/>
      <c r="I277" s="20"/>
      <c r="J277" s="20"/>
      <c r="K277" s="20"/>
      <c r="L277" s="20"/>
      <c r="M277" s="20"/>
      <c r="N277" s="20"/>
      <c r="O277" s="20"/>
      <c r="P277" s="20"/>
      <c r="Q277" s="20"/>
      <c r="R277" s="20"/>
      <c r="S277" s="20"/>
      <c r="T277"/>
      <c r="U277"/>
      <c r="V277"/>
      <c r="W277"/>
      <c r="X277"/>
      <c r="Y277"/>
      <c r="Z277" s="16"/>
      <c r="AA277" s="16"/>
      <c r="AB277" s="55"/>
      <c r="AC277"/>
      <c r="AD277"/>
      <c r="AE277"/>
      <c r="AF277"/>
      <c r="AG277"/>
      <c r="AH277"/>
      <c r="AI277"/>
      <c r="AJ277"/>
      <c r="AK277"/>
      <c r="AL277"/>
      <c r="AM277"/>
      <c r="AN277"/>
      <c r="AO277"/>
      <c r="AP277"/>
      <c r="AQ277"/>
      <c r="AS277" s="55"/>
      <c r="AT277"/>
      <c r="AU277" s="41"/>
      <c r="AV277" s="16"/>
      <c r="AW277" s="16"/>
      <c r="AX277" s="16"/>
      <c r="AY277" s="16"/>
      <c r="AZ277" s="16"/>
      <c r="BA277" s="16"/>
      <c r="BB277" s="16"/>
      <c r="BC277" s="16"/>
      <c r="BD277" s="16"/>
      <c r="BE277" s="16"/>
      <c r="BF277" s="16"/>
      <c r="BG277" s="16"/>
      <c r="BH277" s="16"/>
      <c r="BI277"/>
      <c r="BJ277"/>
      <c r="BK277"/>
      <c r="BL277"/>
      <c r="BM277"/>
      <c r="BN277"/>
      <c r="BO277"/>
      <c r="BP277"/>
      <c r="BQ277" s="55"/>
      <c r="BR277"/>
      <c r="BS277"/>
      <c r="BT277"/>
      <c r="BU277"/>
      <c r="BV277"/>
      <c r="BW277"/>
      <c r="BX277"/>
      <c r="BY277"/>
      <c r="BZ277"/>
      <c r="CA277"/>
      <c r="CB277"/>
      <c r="CC277"/>
      <c r="CD277"/>
      <c r="CE277"/>
      <c r="CF277"/>
      <c r="CH277" s="55"/>
      <c r="CI277"/>
      <c r="CJ277" s="16"/>
      <c r="CK277" s="16"/>
      <c r="CL277" s="28"/>
      <c r="CM277" s="28"/>
      <c r="CN277" s="28"/>
      <c r="CO277" s="28"/>
      <c r="CP277" s="28"/>
      <c r="CQ277" s="28"/>
      <c r="CR277" s="28"/>
      <c r="CS277" s="28"/>
      <c r="CT277" s="28"/>
      <c r="CU277" s="28"/>
      <c r="CV277" s="28"/>
      <c r="CW277" s="28"/>
      <c r="CX277" s="28"/>
      <c r="CY277" s="28"/>
      <c r="CZ277" s="28"/>
      <c r="DA277" s="28"/>
      <c r="DB277" s="28"/>
      <c r="DC277" s="28"/>
      <c r="DD277" s="28"/>
      <c r="DF277" s="55"/>
      <c r="DX277" s="28"/>
    </row>
    <row r="278" spans="1:128" s="19" customFormat="1" ht="16" customHeight="1">
      <c r="A278" s="18"/>
      <c r="B278" s="17"/>
      <c r="C278" s="16"/>
      <c r="D278" s="16"/>
      <c r="E278" s="16"/>
      <c r="F278" s="16"/>
      <c r="G278" s="16"/>
      <c r="H278" s="20"/>
      <c r="I278" s="20"/>
      <c r="J278" s="20"/>
      <c r="K278" s="20"/>
      <c r="L278" s="20"/>
      <c r="M278" s="20"/>
      <c r="N278" s="20"/>
      <c r="O278" s="20"/>
      <c r="P278" s="20"/>
      <c r="Q278" s="20"/>
      <c r="R278" s="20"/>
      <c r="S278" s="20"/>
      <c r="T278"/>
      <c r="U278"/>
      <c r="V278"/>
      <c r="W278"/>
      <c r="X278"/>
      <c r="Y278"/>
      <c r="Z278" s="16"/>
      <c r="AA278" s="16"/>
      <c r="AB278" s="55"/>
      <c r="AC278"/>
      <c r="AD278"/>
      <c r="AE278"/>
      <c r="AF278"/>
      <c r="AG278"/>
      <c r="AH278"/>
      <c r="AI278"/>
      <c r="AJ278"/>
      <c r="AK278"/>
      <c r="AL278"/>
      <c r="AM278"/>
      <c r="AN278"/>
      <c r="AO278"/>
      <c r="AP278"/>
      <c r="AQ278"/>
      <c r="AS278" s="55"/>
      <c r="AT278"/>
      <c r="AU278" s="41"/>
      <c r="AV278" s="16"/>
      <c r="AW278" s="16"/>
      <c r="AX278" s="16"/>
      <c r="AY278" s="16"/>
      <c r="AZ278" s="16"/>
      <c r="BA278" s="16"/>
      <c r="BB278" s="16"/>
      <c r="BC278" s="16"/>
      <c r="BD278" s="16"/>
      <c r="BE278" s="16"/>
      <c r="BF278" s="16"/>
      <c r="BG278" s="16"/>
      <c r="BH278" s="16"/>
      <c r="BI278"/>
      <c r="BJ278"/>
      <c r="BK278"/>
      <c r="BL278"/>
      <c r="BM278"/>
      <c r="BN278"/>
      <c r="BO278"/>
      <c r="BP278"/>
      <c r="BQ278" s="55"/>
      <c r="BR278"/>
      <c r="BS278"/>
      <c r="BT278"/>
      <c r="BU278"/>
      <c r="BV278"/>
      <c r="BW278"/>
      <c r="BX278"/>
      <c r="BY278"/>
      <c r="BZ278"/>
      <c r="CA278"/>
      <c r="CB278"/>
      <c r="CC278"/>
      <c r="CD278"/>
      <c r="CE278"/>
      <c r="CF278"/>
      <c r="CH278" s="55"/>
      <c r="CI278"/>
      <c r="CJ278" s="16"/>
      <c r="CK278" s="16"/>
      <c r="CL278" s="28"/>
      <c r="CM278" s="28"/>
      <c r="CN278" s="28"/>
      <c r="CO278" s="28"/>
      <c r="CP278" s="28"/>
      <c r="CQ278" s="28"/>
      <c r="CR278" s="28"/>
      <c r="CS278" s="28"/>
      <c r="CT278" s="28"/>
      <c r="CU278" s="28"/>
      <c r="CV278" s="28"/>
      <c r="CW278" s="28"/>
      <c r="CX278" s="28"/>
      <c r="CY278" s="28"/>
      <c r="CZ278" s="28"/>
      <c r="DA278" s="28"/>
      <c r="DB278" s="28"/>
      <c r="DC278" s="28"/>
      <c r="DD278" s="28"/>
      <c r="DF278" s="55"/>
      <c r="DX278" s="28"/>
    </row>
    <row r="279" spans="1:128" s="19" customFormat="1" ht="16" customHeight="1">
      <c r="A279" s="18"/>
      <c r="B279" s="17"/>
      <c r="C279" s="16"/>
      <c r="D279" s="16"/>
      <c r="E279" s="16"/>
      <c r="F279" s="16"/>
      <c r="G279" s="16"/>
      <c r="H279" s="20"/>
      <c r="I279" s="20"/>
      <c r="J279" s="20"/>
      <c r="K279" s="20"/>
      <c r="L279" s="20"/>
      <c r="M279" s="20"/>
      <c r="N279" s="20"/>
      <c r="O279" s="20"/>
      <c r="P279" s="20"/>
      <c r="Q279" s="20"/>
      <c r="R279" s="20"/>
      <c r="S279" s="20"/>
      <c r="T279"/>
      <c r="U279"/>
      <c r="V279"/>
      <c r="W279"/>
      <c r="X279"/>
      <c r="Y279"/>
      <c r="Z279" s="16"/>
      <c r="AA279" s="16"/>
      <c r="AB279" s="55"/>
      <c r="AC279"/>
      <c r="AD279"/>
      <c r="AE279"/>
      <c r="AF279"/>
      <c r="AG279"/>
      <c r="AH279"/>
      <c r="AI279"/>
      <c r="AJ279"/>
      <c r="AK279"/>
      <c r="AL279"/>
      <c r="AM279"/>
      <c r="AN279"/>
      <c r="AO279"/>
      <c r="AP279"/>
      <c r="AQ279"/>
      <c r="AS279" s="55"/>
      <c r="AT279"/>
      <c r="AU279" s="41"/>
      <c r="AV279" s="16"/>
      <c r="AW279" s="16"/>
      <c r="AX279" s="16"/>
      <c r="AY279" s="16"/>
      <c r="AZ279" s="16"/>
      <c r="BA279" s="16"/>
      <c r="BB279" s="16"/>
      <c r="BC279" s="16"/>
      <c r="BD279" s="16"/>
      <c r="BE279" s="16"/>
      <c r="BF279" s="16"/>
      <c r="BG279" s="16"/>
      <c r="BH279" s="16"/>
      <c r="BI279"/>
      <c r="BJ279"/>
      <c r="BK279"/>
      <c r="BL279"/>
      <c r="BM279"/>
      <c r="BN279"/>
      <c r="BO279"/>
      <c r="BP279"/>
      <c r="BQ279" s="55"/>
      <c r="BR279"/>
      <c r="BS279"/>
      <c r="BT279"/>
      <c r="BU279"/>
      <c r="BV279"/>
      <c r="BW279"/>
      <c r="BX279"/>
      <c r="BY279"/>
      <c r="BZ279"/>
      <c r="CA279"/>
      <c r="CB279"/>
      <c r="CC279"/>
      <c r="CD279"/>
      <c r="CE279"/>
      <c r="CF279"/>
      <c r="CH279" s="55"/>
      <c r="CI279"/>
      <c r="CJ279" s="16"/>
      <c r="CK279" s="16"/>
      <c r="CL279" s="28"/>
      <c r="CM279" s="28"/>
      <c r="CN279" s="28"/>
      <c r="CO279" s="28"/>
      <c r="CP279" s="28"/>
      <c r="CQ279" s="28"/>
      <c r="CR279" s="28"/>
      <c r="CS279" s="28"/>
      <c r="CT279" s="28"/>
      <c r="CU279" s="28"/>
      <c r="CV279" s="28"/>
      <c r="CW279" s="28"/>
      <c r="CX279" s="28"/>
      <c r="CY279" s="28"/>
      <c r="CZ279" s="28"/>
      <c r="DA279" s="28"/>
      <c r="DB279" s="28"/>
      <c r="DC279" s="28"/>
      <c r="DD279" s="28"/>
      <c r="DF279" s="55"/>
      <c r="DX279" s="28"/>
    </row>
    <row r="280" spans="1:128" s="19" customFormat="1" ht="16" customHeight="1">
      <c r="A280" s="18"/>
      <c r="B280" s="17"/>
      <c r="C280" s="16"/>
      <c r="D280" s="16"/>
      <c r="E280" s="16"/>
      <c r="F280" s="16"/>
      <c r="G280" s="16"/>
      <c r="H280" s="20"/>
      <c r="I280" s="20"/>
      <c r="J280" s="20"/>
      <c r="K280" s="20"/>
      <c r="L280" s="20"/>
      <c r="M280" s="20"/>
      <c r="N280" s="20"/>
      <c r="O280" s="20"/>
      <c r="P280" s="20"/>
      <c r="Q280" s="20"/>
      <c r="R280" s="20"/>
      <c r="S280" s="20"/>
      <c r="T280"/>
      <c r="U280"/>
      <c r="V280"/>
      <c r="W280"/>
      <c r="X280"/>
      <c r="Y280"/>
      <c r="Z280" s="16"/>
      <c r="AA280" s="16"/>
      <c r="AB280" s="55"/>
      <c r="AC280"/>
      <c r="AD280"/>
      <c r="AE280"/>
      <c r="AF280"/>
      <c r="AG280"/>
      <c r="AH280"/>
      <c r="AI280"/>
      <c r="AJ280"/>
      <c r="AK280"/>
      <c r="AL280"/>
      <c r="AM280"/>
      <c r="AN280"/>
      <c r="AO280"/>
      <c r="AP280"/>
      <c r="AQ280"/>
      <c r="AS280" s="55"/>
      <c r="AT280"/>
      <c r="AU280" s="41"/>
      <c r="AV280" s="16"/>
      <c r="AW280" s="16"/>
      <c r="AX280" s="16"/>
      <c r="AY280" s="16"/>
      <c r="AZ280" s="16"/>
      <c r="BA280" s="16"/>
      <c r="BB280" s="16"/>
      <c r="BC280" s="16"/>
      <c r="BD280" s="16"/>
      <c r="BE280" s="16"/>
      <c r="BF280" s="16"/>
      <c r="BG280" s="16"/>
      <c r="BH280" s="16"/>
      <c r="BI280"/>
      <c r="BJ280"/>
      <c r="BK280"/>
      <c r="BL280"/>
      <c r="BM280"/>
      <c r="BN280"/>
      <c r="BO280"/>
      <c r="BP280"/>
      <c r="BQ280" s="55"/>
      <c r="BR280"/>
      <c r="BS280"/>
      <c r="BT280"/>
      <c r="BU280"/>
      <c r="BV280"/>
      <c r="BW280"/>
      <c r="BX280"/>
      <c r="BY280"/>
      <c r="BZ280"/>
      <c r="CA280"/>
      <c r="CB280"/>
      <c r="CC280"/>
      <c r="CD280"/>
      <c r="CE280"/>
      <c r="CF280"/>
      <c r="CH280" s="55"/>
      <c r="CI280"/>
      <c r="CJ280" s="16"/>
      <c r="CK280" s="16"/>
      <c r="CL280" s="28"/>
      <c r="CM280" s="28"/>
      <c r="CN280" s="28"/>
      <c r="CO280" s="28"/>
      <c r="CP280" s="28"/>
      <c r="CQ280" s="28"/>
      <c r="CR280" s="28"/>
      <c r="CS280" s="28"/>
      <c r="CT280" s="28"/>
      <c r="CU280" s="28"/>
      <c r="CV280" s="28"/>
      <c r="CW280" s="28"/>
      <c r="CX280" s="28"/>
      <c r="CY280" s="28"/>
      <c r="CZ280" s="28"/>
      <c r="DA280" s="28"/>
      <c r="DB280" s="28"/>
      <c r="DC280" s="28"/>
      <c r="DD280" s="28"/>
      <c r="DF280" s="55"/>
      <c r="DX280" s="28"/>
    </row>
    <row r="281" spans="1:128" s="19" customFormat="1" ht="16" customHeight="1">
      <c r="A281" s="18"/>
      <c r="B281" s="17"/>
      <c r="C281" s="16"/>
      <c r="D281" s="16"/>
      <c r="E281" s="16"/>
      <c r="F281" s="16"/>
      <c r="G281" s="16"/>
      <c r="H281" s="20"/>
      <c r="I281" s="20"/>
      <c r="J281" s="20"/>
      <c r="K281" s="20"/>
      <c r="L281" s="20"/>
      <c r="M281" s="20"/>
      <c r="N281" s="20"/>
      <c r="O281" s="20"/>
      <c r="P281" s="20"/>
      <c r="Q281" s="20"/>
      <c r="R281" s="20"/>
      <c r="S281" s="20"/>
      <c r="T281"/>
      <c r="U281"/>
      <c r="V281"/>
      <c r="W281"/>
      <c r="X281"/>
      <c r="Y281"/>
      <c r="Z281" s="16"/>
      <c r="AA281" s="16"/>
      <c r="AB281" s="55"/>
      <c r="AC281"/>
      <c r="AD281"/>
      <c r="AE281"/>
      <c r="AF281"/>
      <c r="AG281"/>
      <c r="AH281"/>
      <c r="AI281"/>
      <c r="AJ281"/>
      <c r="AK281"/>
      <c r="AL281"/>
      <c r="AM281"/>
      <c r="AN281"/>
      <c r="AO281"/>
      <c r="AP281"/>
      <c r="AQ281"/>
      <c r="AS281" s="55"/>
      <c r="AT281"/>
      <c r="AU281" s="41"/>
      <c r="AV281" s="16"/>
      <c r="AW281" s="16"/>
      <c r="AX281" s="16"/>
      <c r="AY281" s="16"/>
      <c r="AZ281" s="16"/>
      <c r="BA281" s="16"/>
      <c r="BB281" s="16"/>
      <c r="BC281" s="16"/>
      <c r="BD281" s="16"/>
      <c r="BE281" s="16"/>
      <c r="BF281" s="16"/>
      <c r="BG281" s="16"/>
      <c r="BH281" s="16"/>
      <c r="BI281"/>
      <c r="BJ281"/>
      <c r="BK281"/>
      <c r="BL281"/>
      <c r="BM281"/>
      <c r="BN281"/>
      <c r="BO281"/>
      <c r="BP281"/>
      <c r="BQ281" s="55"/>
      <c r="BR281"/>
      <c r="BS281"/>
      <c r="BT281"/>
      <c r="BU281"/>
      <c r="BV281"/>
      <c r="BW281"/>
      <c r="BX281"/>
      <c r="BY281"/>
      <c r="BZ281"/>
      <c r="CA281"/>
      <c r="CB281"/>
      <c r="CC281"/>
      <c r="CD281"/>
      <c r="CE281"/>
      <c r="CF281"/>
      <c r="CH281" s="55"/>
      <c r="CI281"/>
      <c r="CJ281" s="16"/>
      <c r="CK281" s="16"/>
      <c r="CL281" s="28"/>
      <c r="CM281" s="28"/>
      <c r="CN281" s="28"/>
      <c r="CO281" s="28"/>
      <c r="CP281" s="28"/>
      <c r="CQ281" s="28"/>
      <c r="CR281" s="28"/>
      <c r="CS281" s="28"/>
      <c r="CT281" s="28"/>
      <c r="CU281" s="28"/>
      <c r="CV281" s="28"/>
      <c r="CW281" s="28"/>
      <c r="CX281" s="28"/>
      <c r="CY281" s="28"/>
      <c r="CZ281" s="28"/>
      <c r="DA281" s="28"/>
      <c r="DB281" s="28"/>
      <c r="DC281" s="28"/>
      <c r="DD281" s="28"/>
      <c r="DF281" s="55"/>
      <c r="DX281" s="28"/>
    </row>
    <row r="282" spans="1:128" s="19" customFormat="1" ht="16" customHeight="1">
      <c r="A282" s="18"/>
      <c r="B282" s="17"/>
      <c r="C282" s="16"/>
      <c r="D282" s="16"/>
      <c r="E282" s="16"/>
      <c r="F282" s="16"/>
      <c r="G282" s="16"/>
      <c r="H282" s="20"/>
      <c r="I282" s="20"/>
      <c r="J282" s="20"/>
      <c r="K282" s="20"/>
      <c r="L282" s="20"/>
      <c r="M282" s="20"/>
      <c r="N282" s="20"/>
      <c r="O282" s="20"/>
      <c r="P282" s="20"/>
      <c r="Q282" s="20"/>
      <c r="R282" s="20"/>
      <c r="S282" s="20"/>
      <c r="T282"/>
      <c r="U282"/>
      <c r="V282"/>
      <c r="W282"/>
      <c r="X282"/>
      <c r="Y282"/>
      <c r="Z282" s="16"/>
      <c r="AA282" s="16"/>
      <c r="AB282" s="55"/>
      <c r="AC282"/>
      <c r="AD282"/>
      <c r="AE282"/>
      <c r="AF282"/>
      <c r="AG282"/>
      <c r="AH282"/>
      <c r="AI282"/>
      <c r="AJ282"/>
      <c r="AK282"/>
      <c r="AL282"/>
      <c r="AM282"/>
      <c r="AN282"/>
      <c r="AO282"/>
      <c r="AP282"/>
      <c r="AQ282"/>
      <c r="AS282" s="55"/>
      <c r="AT282"/>
      <c r="AU282" s="41"/>
      <c r="AV282" s="16"/>
      <c r="AW282" s="16"/>
      <c r="AX282" s="16"/>
      <c r="AY282" s="16"/>
      <c r="AZ282" s="16"/>
      <c r="BA282" s="16"/>
      <c r="BB282" s="16"/>
      <c r="BC282" s="16"/>
      <c r="BD282" s="16"/>
      <c r="BE282" s="16"/>
      <c r="BF282" s="16"/>
      <c r="BG282" s="16"/>
      <c r="BH282" s="16"/>
      <c r="BI282"/>
      <c r="BJ282"/>
      <c r="BK282"/>
      <c r="BL282"/>
      <c r="BM282"/>
      <c r="BN282"/>
      <c r="BO282"/>
      <c r="BP282"/>
      <c r="BQ282" s="55"/>
      <c r="BR282"/>
      <c r="BS282"/>
      <c r="BT282"/>
      <c r="BU282"/>
      <c r="BV282"/>
      <c r="BW282"/>
      <c r="BX282"/>
      <c r="BY282"/>
      <c r="BZ282"/>
      <c r="CA282"/>
      <c r="CB282"/>
      <c r="CC282"/>
      <c r="CD282"/>
      <c r="CE282"/>
      <c r="CF282"/>
      <c r="CH282" s="55"/>
      <c r="CI282"/>
      <c r="CJ282" s="16"/>
      <c r="CK282" s="16"/>
      <c r="CL282" s="28"/>
      <c r="CM282" s="28"/>
      <c r="CN282" s="28"/>
      <c r="CO282" s="28"/>
      <c r="CP282" s="28"/>
      <c r="CQ282" s="28"/>
      <c r="CR282" s="28"/>
      <c r="CS282" s="28"/>
      <c r="CT282" s="28"/>
      <c r="CU282" s="28"/>
      <c r="CV282" s="28"/>
      <c r="CW282" s="28"/>
      <c r="CX282" s="28"/>
      <c r="CY282" s="28"/>
      <c r="CZ282" s="28"/>
      <c r="DA282" s="28"/>
      <c r="DB282" s="28"/>
      <c r="DC282" s="28"/>
      <c r="DD282" s="28"/>
      <c r="DF282" s="55"/>
      <c r="DX282" s="28"/>
    </row>
    <row r="283" spans="1:128" s="19" customFormat="1" ht="16" customHeight="1">
      <c r="A283" s="18"/>
      <c r="B283" s="17"/>
      <c r="C283" s="16"/>
      <c r="D283" s="16"/>
      <c r="E283" s="16"/>
      <c r="F283" s="16"/>
      <c r="G283" s="16"/>
      <c r="H283" s="20"/>
      <c r="I283" s="20"/>
      <c r="J283" s="20"/>
      <c r="K283" s="20"/>
      <c r="L283" s="20"/>
      <c r="M283" s="20"/>
      <c r="N283" s="20"/>
      <c r="O283" s="20"/>
      <c r="P283" s="20"/>
      <c r="Q283" s="20"/>
      <c r="R283" s="20"/>
      <c r="S283" s="20"/>
      <c r="T283"/>
      <c r="U283"/>
      <c r="V283"/>
      <c r="W283"/>
      <c r="X283"/>
      <c r="Y283"/>
      <c r="Z283" s="16"/>
      <c r="AA283" s="16"/>
      <c r="AB283" s="55"/>
      <c r="AC283"/>
      <c r="AD283"/>
      <c r="AE283"/>
      <c r="AF283"/>
      <c r="AG283"/>
      <c r="AH283"/>
      <c r="AI283"/>
      <c r="AJ283"/>
      <c r="AK283"/>
      <c r="AL283"/>
      <c r="AM283"/>
      <c r="AN283"/>
      <c r="AO283"/>
      <c r="AP283"/>
      <c r="AQ283"/>
      <c r="AS283" s="55"/>
      <c r="AT283"/>
      <c r="AU283" s="41"/>
      <c r="AV283" s="16"/>
      <c r="AW283" s="16"/>
      <c r="AX283" s="16"/>
      <c r="AY283" s="16"/>
      <c r="AZ283" s="16"/>
      <c r="BA283" s="16"/>
      <c r="BB283" s="16"/>
      <c r="BC283" s="16"/>
      <c r="BD283" s="16"/>
      <c r="BE283" s="16"/>
      <c r="BF283" s="16"/>
      <c r="BG283" s="16"/>
      <c r="BH283" s="16"/>
      <c r="BI283"/>
      <c r="BJ283"/>
      <c r="BK283"/>
      <c r="BL283"/>
      <c r="BM283"/>
      <c r="BN283"/>
      <c r="BO283"/>
      <c r="BP283"/>
      <c r="BQ283" s="55"/>
      <c r="BR283"/>
      <c r="BS283"/>
      <c r="BT283"/>
      <c r="BU283"/>
      <c r="BV283"/>
      <c r="BW283"/>
      <c r="BX283"/>
      <c r="BY283"/>
      <c r="BZ283"/>
      <c r="CA283"/>
      <c r="CB283"/>
      <c r="CC283"/>
      <c r="CD283"/>
      <c r="CE283"/>
      <c r="CF283"/>
      <c r="CH283" s="55"/>
      <c r="CI283"/>
      <c r="CJ283" s="16"/>
      <c r="CK283" s="16"/>
      <c r="CL283" s="28"/>
      <c r="CM283" s="28"/>
      <c r="CN283" s="28"/>
      <c r="CO283" s="28"/>
      <c r="CP283" s="28"/>
      <c r="CQ283" s="28"/>
      <c r="CR283" s="28"/>
      <c r="CS283" s="28"/>
      <c r="CT283" s="28"/>
      <c r="CU283" s="28"/>
      <c r="CV283" s="28"/>
      <c r="CW283" s="28"/>
      <c r="CX283" s="28"/>
      <c r="CY283" s="28"/>
      <c r="CZ283" s="28"/>
      <c r="DA283" s="28"/>
      <c r="DB283" s="28"/>
      <c r="DC283" s="28"/>
      <c r="DD283" s="28"/>
      <c r="DF283" s="55"/>
      <c r="DX283" s="28"/>
    </row>
    <row r="284" spans="1:128" s="19" customFormat="1" ht="16" customHeight="1">
      <c r="A284" s="18"/>
      <c r="B284" s="17"/>
      <c r="C284" s="16"/>
      <c r="D284" s="16"/>
      <c r="E284" s="16"/>
      <c r="F284" s="16"/>
      <c r="G284" s="16"/>
      <c r="H284" s="20"/>
      <c r="I284" s="20"/>
      <c r="J284" s="20"/>
      <c r="K284" s="20"/>
      <c r="L284" s="20"/>
      <c r="M284" s="20"/>
      <c r="N284" s="20"/>
      <c r="O284" s="20"/>
      <c r="P284" s="20"/>
      <c r="Q284" s="20"/>
      <c r="R284" s="20"/>
      <c r="S284" s="20"/>
      <c r="T284"/>
      <c r="U284"/>
      <c r="V284"/>
      <c r="W284"/>
      <c r="X284"/>
      <c r="Y284"/>
      <c r="Z284" s="16"/>
      <c r="AA284" s="16"/>
      <c r="AB284" s="55"/>
      <c r="AC284"/>
      <c r="AD284"/>
      <c r="AE284"/>
      <c r="AF284"/>
      <c r="AG284"/>
      <c r="AH284"/>
      <c r="AI284"/>
      <c r="AJ284"/>
      <c r="AK284"/>
      <c r="AL284"/>
      <c r="AM284"/>
      <c r="AN284"/>
      <c r="AO284"/>
      <c r="AP284"/>
      <c r="AQ284"/>
      <c r="AS284" s="55"/>
      <c r="AT284"/>
      <c r="AU284" s="41"/>
      <c r="AV284" s="16"/>
      <c r="AW284" s="16"/>
      <c r="AX284" s="16"/>
      <c r="AY284" s="16"/>
      <c r="AZ284" s="16"/>
      <c r="BA284" s="16"/>
      <c r="BB284" s="16"/>
      <c r="BC284" s="16"/>
      <c r="BD284" s="16"/>
      <c r="BE284" s="16"/>
      <c r="BF284" s="16"/>
      <c r="BG284" s="16"/>
      <c r="BH284" s="16"/>
      <c r="BI284"/>
      <c r="BJ284"/>
      <c r="BK284"/>
      <c r="BL284"/>
      <c r="BM284"/>
      <c r="BN284"/>
      <c r="BO284"/>
      <c r="BP284"/>
      <c r="BQ284" s="55"/>
      <c r="BR284"/>
      <c r="BS284"/>
      <c r="BT284"/>
      <c r="BU284"/>
      <c r="BV284"/>
      <c r="BW284"/>
      <c r="BX284"/>
      <c r="BY284"/>
      <c r="BZ284"/>
      <c r="CA284"/>
      <c r="CB284"/>
      <c r="CC284"/>
      <c r="CD284"/>
      <c r="CE284"/>
      <c r="CF284"/>
      <c r="CH284" s="55"/>
      <c r="CI284"/>
      <c r="CJ284" s="16"/>
      <c r="CK284" s="16"/>
      <c r="CL284" s="28"/>
      <c r="CM284" s="28"/>
      <c r="CN284" s="28"/>
      <c r="CO284" s="28"/>
      <c r="CP284" s="28"/>
      <c r="CQ284" s="28"/>
      <c r="CR284" s="28"/>
      <c r="CS284" s="28"/>
      <c r="CT284" s="28"/>
      <c r="CU284" s="28"/>
      <c r="CV284" s="28"/>
      <c r="CW284" s="28"/>
      <c r="CX284" s="28"/>
      <c r="CY284" s="28"/>
      <c r="CZ284" s="28"/>
      <c r="DA284" s="28"/>
      <c r="DB284" s="28"/>
      <c r="DC284" s="28"/>
      <c r="DD284" s="28"/>
      <c r="DF284" s="55"/>
      <c r="DX284" s="28"/>
    </row>
    <row r="285" spans="1:128" s="19" customFormat="1" ht="16" customHeight="1">
      <c r="A285" s="18"/>
      <c r="B285" s="17"/>
      <c r="C285" s="16"/>
      <c r="D285" s="16"/>
      <c r="E285" s="16"/>
      <c r="F285" s="16"/>
      <c r="G285" s="16"/>
      <c r="H285" s="20"/>
      <c r="I285" s="20"/>
      <c r="J285" s="20"/>
      <c r="K285" s="20"/>
      <c r="L285" s="20"/>
      <c r="M285" s="20"/>
      <c r="N285" s="20"/>
      <c r="O285" s="20"/>
      <c r="P285" s="20"/>
      <c r="Q285" s="20"/>
      <c r="R285" s="20"/>
      <c r="S285" s="20"/>
      <c r="T285"/>
      <c r="U285"/>
      <c r="V285"/>
      <c r="W285"/>
      <c r="X285"/>
      <c r="Y285"/>
      <c r="Z285" s="16"/>
      <c r="AA285" s="16"/>
      <c r="AB285" s="55"/>
      <c r="AC285"/>
      <c r="AD285"/>
      <c r="AE285"/>
      <c r="AF285"/>
      <c r="AG285"/>
      <c r="AH285"/>
      <c r="AI285"/>
      <c r="AJ285"/>
      <c r="AK285"/>
      <c r="AL285"/>
      <c r="AM285"/>
      <c r="AN285"/>
      <c r="AO285"/>
      <c r="AP285"/>
      <c r="AQ285"/>
      <c r="AS285" s="55"/>
      <c r="AT285"/>
      <c r="AU285" s="41"/>
      <c r="AV285" s="16"/>
      <c r="AW285" s="16"/>
      <c r="AX285" s="16"/>
      <c r="AY285" s="16"/>
      <c r="AZ285" s="16"/>
      <c r="BA285" s="16"/>
      <c r="BB285" s="16"/>
      <c r="BC285" s="16"/>
      <c r="BD285" s="16"/>
      <c r="BE285" s="16"/>
      <c r="BF285" s="16"/>
      <c r="BG285" s="16"/>
      <c r="BH285" s="16"/>
      <c r="BI285"/>
      <c r="BJ285"/>
      <c r="BK285"/>
      <c r="BL285"/>
      <c r="BM285"/>
      <c r="BN285"/>
      <c r="BO285"/>
      <c r="BP285"/>
      <c r="BQ285" s="55"/>
      <c r="BR285"/>
      <c r="BS285"/>
      <c r="BT285"/>
      <c r="BU285"/>
      <c r="BV285"/>
      <c r="BW285"/>
      <c r="BX285"/>
      <c r="BY285"/>
      <c r="BZ285"/>
      <c r="CA285"/>
      <c r="CB285"/>
      <c r="CC285"/>
      <c r="CD285"/>
      <c r="CE285"/>
      <c r="CF285"/>
      <c r="CH285" s="55"/>
      <c r="CI285"/>
      <c r="CJ285" s="16"/>
      <c r="CK285" s="16"/>
      <c r="CL285" s="28"/>
      <c r="CM285" s="28"/>
      <c r="CN285" s="28"/>
      <c r="CO285" s="28"/>
      <c r="CP285" s="28"/>
      <c r="CQ285" s="28"/>
      <c r="CR285" s="28"/>
      <c r="CS285" s="28"/>
      <c r="CT285" s="28"/>
      <c r="CU285" s="28"/>
      <c r="CV285" s="28"/>
      <c r="CW285" s="28"/>
      <c r="CX285" s="28"/>
      <c r="CY285" s="28"/>
      <c r="CZ285" s="28"/>
      <c r="DA285" s="28"/>
      <c r="DB285" s="28"/>
      <c r="DC285" s="28"/>
      <c r="DD285" s="28"/>
      <c r="DF285" s="55"/>
      <c r="DX285" s="28"/>
    </row>
    <row r="286" spans="1:128" s="19" customFormat="1" ht="16" customHeight="1">
      <c r="A286" s="18"/>
      <c r="B286" s="17"/>
      <c r="C286" s="16"/>
      <c r="D286" s="16"/>
      <c r="E286" s="16"/>
      <c r="F286" s="16"/>
      <c r="G286" s="16"/>
      <c r="H286" s="20"/>
      <c r="I286" s="20"/>
      <c r="J286" s="20"/>
      <c r="K286" s="20"/>
      <c r="L286" s="20"/>
      <c r="M286" s="20"/>
      <c r="N286" s="20"/>
      <c r="O286" s="20"/>
      <c r="P286" s="20"/>
      <c r="Q286" s="20"/>
      <c r="R286" s="20"/>
      <c r="S286" s="20"/>
      <c r="T286"/>
      <c r="U286"/>
      <c r="V286"/>
      <c r="W286"/>
      <c r="X286"/>
      <c r="Y286"/>
      <c r="Z286" s="16"/>
      <c r="AA286" s="16"/>
      <c r="AB286" s="55"/>
      <c r="AC286"/>
      <c r="AD286"/>
      <c r="AE286"/>
      <c r="AF286"/>
      <c r="AG286"/>
      <c r="AH286"/>
      <c r="AI286"/>
      <c r="AJ286"/>
      <c r="AK286"/>
      <c r="AL286"/>
      <c r="AM286"/>
      <c r="AN286"/>
      <c r="AO286"/>
      <c r="AP286"/>
      <c r="AQ286"/>
      <c r="AS286" s="55"/>
      <c r="AT286"/>
      <c r="AU286" s="41"/>
      <c r="AV286" s="16"/>
      <c r="AW286" s="16"/>
      <c r="AX286" s="16"/>
      <c r="AY286" s="16"/>
      <c r="AZ286" s="16"/>
      <c r="BA286" s="16"/>
      <c r="BB286" s="16"/>
      <c r="BC286" s="16"/>
      <c r="BD286" s="16"/>
      <c r="BE286" s="16"/>
      <c r="BF286" s="16"/>
      <c r="BG286" s="16"/>
      <c r="BH286" s="16"/>
      <c r="BI286"/>
      <c r="BJ286"/>
      <c r="BK286"/>
      <c r="BL286"/>
      <c r="BM286"/>
      <c r="BN286"/>
      <c r="BO286"/>
      <c r="BP286"/>
      <c r="BQ286" s="55"/>
      <c r="BR286"/>
      <c r="BS286"/>
      <c r="BT286"/>
      <c r="BU286"/>
      <c r="BV286"/>
      <c r="BW286"/>
      <c r="BX286"/>
      <c r="BY286"/>
      <c r="BZ286"/>
      <c r="CA286"/>
      <c r="CB286"/>
      <c r="CC286"/>
      <c r="CD286"/>
      <c r="CE286"/>
      <c r="CF286"/>
      <c r="CH286" s="55"/>
      <c r="CI286"/>
      <c r="CJ286" s="16"/>
      <c r="CK286" s="16"/>
      <c r="CL286" s="28"/>
      <c r="CM286" s="28"/>
      <c r="CN286" s="28"/>
      <c r="CO286" s="28"/>
      <c r="CP286" s="28"/>
      <c r="CQ286" s="28"/>
      <c r="CR286" s="28"/>
      <c r="CS286" s="28"/>
      <c r="CT286" s="28"/>
      <c r="CU286" s="28"/>
      <c r="CV286" s="28"/>
      <c r="CW286" s="28"/>
      <c r="CX286" s="28"/>
      <c r="CY286" s="28"/>
      <c r="CZ286" s="28"/>
      <c r="DA286" s="28"/>
      <c r="DB286" s="28"/>
      <c r="DC286" s="28"/>
      <c r="DD286" s="28"/>
      <c r="DF286" s="55"/>
      <c r="DX286" s="28"/>
    </row>
    <row r="287" spans="1:128" s="19" customFormat="1" ht="16" customHeight="1">
      <c r="A287" s="18"/>
      <c r="B287" s="17"/>
      <c r="C287" s="16"/>
      <c r="D287" s="16"/>
      <c r="E287" s="16"/>
      <c r="F287" s="16"/>
      <c r="G287" s="16"/>
      <c r="H287" s="20"/>
      <c r="I287" s="20"/>
      <c r="J287" s="20"/>
      <c r="K287" s="20"/>
      <c r="L287" s="20"/>
      <c r="M287" s="20"/>
      <c r="N287" s="20"/>
      <c r="O287" s="20"/>
      <c r="P287" s="20"/>
      <c r="Q287" s="20"/>
      <c r="R287" s="20"/>
      <c r="S287" s="20"/>
      <c r="T287"/>
      <c r="U287"/>
      <c r="V287"/>
      <c r="W287"/>
      <c r="X287"/>
      <c r="Y287"/>
      <c r="Z287" s="16"/>
      <c r="AA287" s="16"/>
      <c r="AB287" s="55"/>
      <c r="AC287"/>
      <c r="AD287"/>
      <c r="AE287"/>
      <c r="AF287"/>
      <c r="AG287"/>
      <c r="AH287"/>
      <c r="AI287"/>
      <c r="AJ287"/>
      <c r="AK287"/>
      <c r="AL287"/>
      <c r="AM287"/>
      <c r="AN287"/>
      <c r="AO287"/>
      <c r="AP287"/>
      <c r="AQ287"/>
      <c r="AS287" s="55"/>
      <c r="AT287"/>
      <c r="AU287" s="41"/>
      <c r="AV287" s="16"/>
      <c r="AW287" s="16"/>
      <c r="AX287" s="16"/>
      <c r="AY287" s="16"/>
      <c r="AZ287" s="16"/>
      <c r="BA287" s="16"/>
      <c r="BB287" s="16"/>
      <c r="BC287" s="16"/>
      <c r="BD287" s="16"/>
      <c r="BE287" s="16"/>
      <c r="BF287" s="16"/>
      <c r="BG287" s="16"/>
      <c r="BH287" s="16"/>
      <c r="BI287"/>
      <c r="BJ287"/>
      <c r="BK287"/>
      <c r="BL287"/>
      <c r="BM287"/>
      <c r="BN287"/>
      <c r="BO287"/>
      <c r="BP287"/>
      <c r="BQ287" s="55"/>
      <c r="BR287"/>
      <c r="BS287"/>
      <c r="BT287"/>
      <c r="BU287"/>
      <c r="BV287"/>
      <c r="BW287"/>
      <c r="BX287"/>
      <c r="BY287"/>
      <c r="BZ287"/>
      <c r="CA287"/>
      <c r="CB287"/>
      <c r="CC287"/>
      <c r="CD287"/>
      <c r="CE287"/>
      <c r="CF287"/>
      <c r="CH287" s="55"/>
      <c r="CI287"/>
      <c r="CJ287" s="16"/>
      <c r="CK287" s="16"/>
      <c r="CL287" s="28"/>
      <c r="CM287" s="28"/>
      <c r="CN287" s="28"/>
      <c r="CO287" s="28"/>
      <c r="CP287" s="28"/>
      <c r="CQ287" s="28"/>
      <c r="CR287" s="28"/>
      <c r="CS287" s="28"/>
      <c r="CT287" s="28"/>
      <c r="CU287" s="28"/>
      <c r="CV287" s="28"/>
      <c r="CW287" s="28"/>
      <c r="CX287" s="28"/>
      <c r="CY287" s="28"/>
      <c r="CZ287" s="28"/>
      <c r="DA287" s="28"/>
      <c r="DB287" s="28"/>
      <c r="DC287" s="28"/>
      <c r="DD287" s="28"/>
      <c r="DF287" s="55"/>
      <c r="DX287" s="28"/>
    </row>
    <row r="288" spans="1:128" s="19" customFormat="1" ht="16" customHeight="1">
      <c r="A288" s="18"/>
      <c r="B288" s="17"/>
      <c r="C288" s="16"/>
      <c r="D288" s="16"/>
      <c r="E288" s="16"/>
      <c r="F288" s="16"/>
      <c r="G288" s="16"/>
      <c r="H288" s="20"/>
      <c r="I288" s="20"/>
      <c r="J288" s="20"/>
      <c r="K288" s="20"/>
      <c r="L288" s="20"/>
      <c r="M288" s="20"/>
      <c r="N288" s="20"/>
      <c r="O288" s="20"/>
      <c r="P288" s="20"/>
      <c r="Q288" s="20"/>
      <c r="R288" s="20"/>
      <c r="S288" s="20"/>
      <c r="T288"/>
      <c r="U288"/>
      <c r="V288"/>
      <c r="W288"/>
      <c r="X288"/>
      <c r="Y288"/>
      <c r="Z288" s="16"/>
      <c r="AA288" s="16"/>
      <c r="AB288" s="55"/>
      <c r="AC288"/>
      <c r="AD288"/>
      <c r="AE288"/>
      <c r="AF288"/>
      <c r="AG288"/>
      <c r="AH288"/>
      <c r="AI288"/>
      <c r="AJ288"/>
      <c r="AK288"/>
      <c r="AL288"/>
      <c r="AM288"/>
      <c r="AN288"/>
      <c r="AO288"/>
      <c r="AP288"/>
      <c r="AQ288"/>
      <c r="AS288" s="55"/>
      <c r="AT288"/>
      <c r="AU288" s="41"/>
      <c r="AV288" s="16"/>
      <c r="AW288" s="16"/>
      <c r="AX288" s="16"/>
      <c r="AY288" s="16"/>
      <c r="AZ288" s="16"/>
      <c r="BA288" s="16"/>
      <c r="BB288" s="16"/>
      <c r="BC288" s="16"/>
      <c r="BD288" s="16"/>
      <c r="BE288" s="16"/>
      <c r="BF288" s="16"/>
      <c r="BG288" s="16"/>
      <c r="BH288" s="16"/>
      <c r="BI288"/>
      <c r="BJ288"/>
      <c r="BK288"/>
      <c r="BL288"/>
      <c r="BM288"/>
      <c r="BN288"/>
      <c r="BO288"/>
      <c r="BP288"/>
      <c r="BQ288" s="55"/>
      <c r="BR288"/>
      <c r="BS288"/>
      <c r="BT288"/>
      <c r="BU288"/>
      <c r="BV288"/>
      <c r="BW288"/>
      <c r="BX288"/>
      <c r="BY288"/>
      <c r="BZ288"/>
      <c r="CA288"/>
      <c r="CB288"/>
      <c r="CC288"/>
      <c r="CD288"/>
      <c r="CE288"/>
      <c r="CF288"/>
      <c r="CH288" s="55"/>
      <c r="CI288"/>
      <c r="CJ288" s="16"/>
      <c r="CK288" s="16"/>
      <c r="CL288" s="28"/>
      <c r="CM288" s="28"/>
      <c r="CN288" s="28"/>
      <c r="CO288" s="28"/>
      <c r="CP288" s="28"/>
      <c r="CQ288" s="28"/>
      <c r="CR288" s="28"/>
      <c r="CS288" s="28"/>
      <c r="CT288" s="28"/>
      <c r="CU288" s="28"/>
      <c r="CV288" s="28"/>
      <c r="CW288" s="28"/>
      <c r="CX288" s="28"/>
      <c r="CY288" s="28"/>
      <c r="CZ288" s="28"/>
      <c r="DA288" s="28"/>
      <c r="DB288" s="28"/>
      <c r="DC288" s="28"/>
      <c r="DD288" s="28"/>
      <c r="DF288" s="55"/>
      <c r="DX288" s="28"/>
    </row>
    <row r="289" spans="1:128" s="19" customFormat="1" ht="16" customHeight="1">
      <c r="A289" s="18"/>
      <c r="B289" s="17"/>
      <c r="C289" s="16"/>
      <c r="D289" s="16"/>
      <c r="E289" s="16"/>
      <c r="F289" s="16"/>
      <c r="G289" s="16"/>
      <c r="H289" s="20"/>
      <c r="I289" s="20"/>
      <c r="J289" s="20"/>
      <c r="K289" s="20"/>
      <c r="L289" s="20"/>
      <c r="M289" s="20"/>
      <c r="N289" s="20"/>
      <c r="O289" s="20"/>
      <c r="P289" s="20"/>
      <c r="Q289" s="20"/>
      <c r="R289" s="20"/>
      <c r="S289" s="20"/>
      <c r="T289"/>
      <c r="U289"/>
      <c r="V289"/>
      <c r="W289"/>
      <c r="X289"/>
      <c r="Y289"/>
      <c r="Z289" s="16"/>
      <c r="AA289" s="16"/>
      <c r="AB289" s="55"/>
      <c r="AC289"/>
      <c r="AD289"/>
      <c r="AE289"/>
      <c r="AF289"/>
      <c r="AG289"/>
      <c r="AH289"/>
      <c r="AI289"/>
      <c r="AJ289"/>
      <c r="AK289"/>
      <c r="AL289"/>
      <c r="AM289"/>
      <c r="AN289"/>
      <c r="AO289"/>
      <c r="AP289"/>
      <c r="AQ289"/>
      <c r="AS289" s="55"/>
      <c r="AT289"/>
      <c r="AU289" s="41"/>
      <c r="AV289" s="16"/>
      <c r="AW289" s="16"/>
      <c r="AX289" s="16"/>
      <c r="AY289" s="16"/>
      <c r="AZ289" s="16"/>
      <c r="BA289" s="16"/>
      <c r="BB289" s="16"/>
      <c r="BC289" s="16"/>
      <c r="BD289" s="16"/>
      <c r="BE289" s="16"/>
      <c r="BF289" s="16"/>
      <c r="BG289" s="16"/>
      <c r="BH289" s="16"/>
      <c r="BI289"/>
      <c r="BJ289"/>
      <c r="BK289"/>
      <c r="BL289"/>
      <c r="BM289"/>
      <c r="BN289"/>
      <c r="BO289"/>
      <c r="BP289"/>
      <c r="BQ289" s="55"/>
      <c r="BR289"/>
      <c r="BS289"/>
      <c r="BT289"/>
      <c r="BU289"/>
      <c r="BV289"/>
      <c r="BW289"/>
      <c r="BX289"/>
      <c r="BY289"/>
      <c r="BZ289"/>
      <c r="CA289"/>
      <c r="CB289"/>
      <c r="CC289"/>
      <c r="CD289"/>
      <c r="CE289"/>
      <c r="CF289"/>
      <c r="CH289" s="55"/>
      <c r="CI289"/>
      <c r="CJ289" s="16"/>
      <c r="CK289" s="16"/>
      <c r="CL289" s="28"/>
      <c r="CM289" s="28"/>
      <c r="CN289" s="28"/>
      <c r="CO289" s="28"/>
      <c r="CP289" s="28"/>
      <c r="CQ289" s="28"/>
      <c r="CR289" s="28"/>
      <c r="CS289" s="28"/>
      <c r="CT289" s="28"/>
      <c r="CU289" s="28"/>
      <c r="CV289" s="28"/>
      <c r="CW289" s="28"/>
      <c r="CX289" s="28"/>
      <c r="CY289" s="28"/>
      <c r="CZ289" s="28"/>
      <c r="DA289" s="28"/>
      <c r="DB289" s="28"/>
      <c r="DC289" s="28"/>
      <c r="DD289" s="28"/>
      <c r="DF289" s="55"/>
      <c r="DX289" s="28"/>
    </row>
    <row r="290" spans="1:128" s="19" customFormat="1" ht="16" customHeight="1">
      <c r="A290" s="18"/>
      <c r="B290" s="17"/>
      <c r="C290" s="16"/>
      <c r="D290" s="16"/>
      <c r="E290" s="16"/>
      <c r="F290" s="16"/>
      <c r="G290" s="16"/>
      <c r="H290" s="20"/>
      <c r="I290" s="20"/>
      <c r="J290" s="20"/>
      <c r="K290" s="20"/>
      <c r="L290" s="20"/>
      <c r="M290" s="20"/>
      <c r="N290" s="20"/>
      <c r="O290" s="20"/>
      <c r="P290" s="20"/>
      <c r="Q290" s="20"/>
      <c r="R290" s="20"/>
      <c r="S290" s="20"/>
      <c r="T290"/>
      <c r="U290"/>
      <c r="V290"/>
      <c r="W290"/>
      <c r="X290"/>
      <c r="Y290"/>
      <c r="Z290" s="16"/>
      <c r="AA290" s="16"/>
      <c r="AB290" s="55"/>
      <c r="AC290"/>
      <c r="AD290"/>
      <c r="AE290"/>
      <c r="AF290"/>
      <c r="AG290"/>
      <c r="AH290"/>
      <c r="AI290"/>
      <c r="AJ290"/>
      <c r="AK290"/>
      <c r="AL290"/>
      <c r="AM290"/>
      <c r="AN290"/>
      <c r="AO290"/>
      <c r="AP290"/>
      <c r="AQ290"/>
      <c r="AS290" s="55"/>
      <c r="AT290"/>
      <c r="AU290" s="41"/>
      <c r="AV290" s="16"/>
      <c r="AW290" s="16"/>
      <c r="AX290" s="16"/>
      <c r="AY290" s="16"/>
      <c r="AZ290" s="16"/>
      <c r="BA290" s="16"/>
      <c r="BB290" s="16"/>
      <c r="BC290" s="16"/>
      <c r="BD290" s="16"/>
      <c r="BE290" s="16"/>
      <c r="BF290" s="16"/>
      <c r="BG290" s="16"/>
      <c r="BH290" s="16"/>
      <c r="BI290"/>
      <c r="BJ290"/>
      <c r="BK290"/>
      <c r="BL290"/>
      <c r="BM290"/>
      <c r="BN290"/>
      <c r="BO290"/>
      <c r="BP290"/>
      <c r="BQ290" s="55"/>
      <c r="BR290"/>
      <c r="BS290"/>
      <c r="BT290"/>
      <c r="BU290"/>
      <c r="BV290"/>
      <c r="BW290"/>
      <c r="BX290"/>
      <c r="BY290"/>
      <c r="BZ290"/>
      <c r="CA290"/>
      <c r="CB290"/>
      <c r="CC290"/>
      <c r="CD290"/>
      <c r="CE290"/>
      <c r="CF290"/>
      <c r="CH290" s="55"/>
      <c r="CI290"/>
      <c r="CJ290" s="16"/>
      <c r="CK290" s="16"/>
      <c r="CL290" s="28"/>
      <c r="CM290" s="28"/>
      <c r="CN290" s="28"/>
      <c r="CO290" s="28"/>
      <c r="CP290" s="28"/>
      <c r="CQ290" s="28"/>
      <c r="CR290" s="28"/>
      <c r="CS290" s="28"/>
      <c r="CT290" s="28"/>
      <c r="CU290" s="28"/>
      <c r="CV290" s="28"/>
      <c r="CW290" s="28"/>
      <c r="CX290" s="28"/>
      <c r="CY290" s="28"/>
      <c r="CZ290" s="28"/>
      <c r="DA290" s="28"/>
      <c r="DB290" s="28"/>
      <c r="DC290" s="28"/>
      <c r="DD290" s="28"/>
      <c r="DF290" s="55"/>
      <c r="DX290" s="28"/>
    </row>
    <row r="291" spans="1:128" s="19" customFormat="1" ht="16" customHeight="1">
      <c r="A291" s="18"/>
      <c r="B291" s="17"/>
      <c r="C291" s="16"/>
      <c r="D291" s="16"/>
      <c r="E291" s="16"/>
      <c r="F291" s="16"/>
      <c r="G291" s="16"/>
      <c r="H291" s="20"/>
      <c r="I291" s="20"/>
      <c r="J291" s="20"/>
      <c r="K291" s="20"/>
      <c r="L291" s="20"/>
      <c r="M291" s="20"/>
      <c r="N291" s="20"/>
      <c r="O291" s="20"/>
      <c r="P291" s="20"/>
      <c r="Q291" s="20"/>
      <c r="R291" s="20"/>
      <c r="S291" s="20"/>
      <c r="T291"/>
      <c r="U291"/>
      <c r="V291"/>
      <c r="W291"/>
      <c r="X291"/>
      <c r="Y291"/>
      <c r="Z291" s="16"/>
      <c r="AA291" s="16"/>
      <c r="AB291" s="55"/>
      <c r="AC291"/>
      <c r="AD291"/>
      <c r="AE291"/>
      <c r="AF291"/>
      <c r="AG291"/>
      <c r="AH291"/>
      <c r="AI291"/>
      <c r="AJ291"/>
      <c r="AK291"/>
      <c r="AL291"/>
      <c r="AM291"/>
      <c r="AN291"/>
      <c r="AO291"/>
      <c r="AP291"/>
      <c r="AQ291"/>
      <c r="AS291" s="55"/>
      <c r="AT291"/>
      <c r="AU291" s="41"/>
      <c r="AV291" s="16"/>
      <c r="AW291" s="16"/>
      <c r="AX291" s="16"/>
      <c r="AY291" s="16"/>
      <c r="AZ291" s="16"/>
      <c r="BA291" s="16"/>
      <c r="BB291" s="16"/>
      <c r="BC291" s="16"/>
      <c r="BD291" s="16"/>
      <c r="BE291" s="16"/>
      <c r="BF291" s="16"/>
      <c r="BG291" s="16"/>
      <c r="BH291" s="16"/>
      <c r="BI291"/>
      <c r="BJ291"/>
      <c r="BK291"/>
      <c r="BL291"/>
      <c r="BM291"/>
      <c r="BN291"/>
      <c r="BO291"/>
      <c r="BP291"/>
      <c r="BQ291" s="55"/>
      <c r="BR291"/>
      <c r="BS291"/>
      <c r="BT291"/>
      <c r="BU291"/>
      <c r="BV291"/>
      <c r="BW291"/>
      <c r="BX291"/>
      <c r="BY291"/>
      <c r="BZ291"/>
      <c r="CA291"/>
      <c r="CB291"/>
      <c r="CC291"/>
      <c r="CD291"/>
      <c r="CE291"/>
      <c r="CF291"/>
      <c r="CH291" s="55"/>
      <c r="CI291"/>
      <c r="CJ291" s="16"/>
      <c r="CK291" s="16"/>
      <c r="CL291" s="28"/>
      <c r="CM291" s="28"/>
      <c r="CN291" s="28"/>
      <c r="CO291" s="28"/>
      <c r="CP291" s="28"/>
      <c r="CQ291" s="28"/>
      <c r="CR291" s="28"/>
      <c r="CS291" s="28"/>
      <c r="CT291" s="28"/>
      <c r="CU291" s="28"/>
      <c r="CV291" s="28"/>
      <c r="CW291" s="28"/>
      <c r="CX291" s="28"/>
      <c r="CY291" s="28"/>
      <c r="CZ291" s="28"/>
      <c r="DA291" s="28"/>
      <c r="DB291" s="28"/>
      <c r="DC291" s="28"/>
      <c r="DD291" s="28"/>
      <c r="DF291" s="55"/>
      <c r="DX291" s="28"/>
    </row>
    <row r="292" spans="1:128" s="19" customFormat="1" ht="16" customHeight="1">
      <c r="A292" s="18"/>
      <c r="B292" s="17"/>
      <c r="C292" s="16"/>
      <c r="D292" s="16"/>
      <c r="E292" s="16"/>
      <c r="F292" s="16"/>
      <c r="G292" s="16"/>
      <c r="H292" s="20"/>
      <c r="I292" s="20"/>
      <c r="J292" s="20"/>
      <c r="K292" s="20"/>
      <c r="L292" s="20"/>
      <c r="M292" s="20"/>
      <c r="N292" s="20"/>
      <c r="O292" s="20"/>
      <c r="P292" s="20"/>
      <c r="Q292" s="20"/>
      <c r="R292" s="20"/>
      <c r="S292" s="20"/>
      <c r="T292"/>
      <c r="U292"/>
      <c r="V292"/>
      <c r="W292"/>
      <c r="X292"/>
      <c r="Y292"/>
      <c r="Z292" s="16"/>
      <c r="AA292" s="16"/>
      <c r="AB292" s="55"/>
      <c r="AC292"/>
      <c r="AD292"/>
      <c r="AE292"/>
      <c r="AF292"/>
      <c r="AG292"/>
      <c r="AH292"/>
      <c r="AI292"/>
      <c r="AJ292"/>
      <c r="AK292"/>
      <c r="AL292"/>
      <c r="AM292"/>
      <c r="AN292"/>
      <c r="AO292"/>
      <c r="AP292"/>
      <c r="AQ292"/>
      <c r="AS292" s="55"/>
      <c r="AT292"/>
      <c r="AU292" s="41"/>
      <c r="AV292" s="16"/>
      <c r="AW292" s="16"/>
      <c r="AX292" s="16"/>
      <c r="AY292" s="16"/>
      <c r="AZ292" s="16"/>
      <c r="BA292" s="16"/>
      <c r="BB292" s="16"/>
      <c r="BC292" s="16"/>
      <c r="BD292" s="16"/>
      <c r="BE292" s="16"/>
      <c r="BF292" s="16"/>
      <c r="BG292" s="16"/>
      <c r="BH292" s="16"/>
      <c r="BI292"/>
      <c r="BJ292"/>
      <c r="BK292"/>
      <c r="BL292"/>
      <c r="BM292"/>
      <c r="BN292"/>
      <c r="BO292"/>
      <c r="BP292"/>
      <c r="BQ292" s="55"/>
      <c r="BR292"/>
      <c r="BS292"/>
      <c r="BT292"/>
      <c r="BU292"/>
      <c r="BV292"/>
      <c r="BW292"/>
      <c r="BX292"/>
      <c r="BY292"/>
      <c r="BZ292"/>
      <c r="CA292"/>
      <c r="CB292"/>
      <c r="CC292"/>
      <c r="CD292"/>
      <c r="CE292"/>
      <c r="CF292"/>
      <c r="CH292" s="55"/>
      <c r="CI292"/>
      <c r="CJ292" s="16"/>
      <c r="CK292" s="16"/>
      <c r="CL292" s="28"/>
      <c r="CM292" s="28"/>
      <c r="CN292" s="28"/>
      <c r="CO292" s="28"/>
      <c r="CP292" s="28"/>
      <c r="CQ292" s="28"/>
      <c r="CR292" s="28"/>
      <c r="CS292" s="28"/>
      <c r="CT292" s="28"/>
      <c r="CU292" s="28"/>
      <c r="CV292" s="28"/>
      <c r="CW292" s="28"/>
      <c r="CX292" s="28"/>
      <c r="CY292" s="28"/>
      <c r="CZ292" s="28"/>
      <c r="DA292" s="28"/>
      <c r="DB292" s="28"/>
      <c r="DC292" s="28"/>
      <c r="DD292" s="28"/>
      <c r="DF292" s="55"/>
      <c r="DX292" s="28"/>
    </row>
    <row r="293" spans="1:128" s="19" customFormat="1" ht="16" customHeight="1">
      <c r="A293" s="18"/>
      <c r="B293" s="17"/>
      <c r="C293" s="16"/>
      <c r="D293" s="16"/>
      <c r="E293" s="16"/>
      <c r="F293" s="16"/>
      <c r="G293" s="16"/>
      <c r="H293" s="20"/>
      <c r="I293" s="20"/>
      <c r="J293" s="20"/>
      <c r="K293" s="20"/>
      <c r="L293" s="20"/>
      <c r="M293" s="20"/>
      <c r="N293" s="20"/>
      <c r="O293" s="20"/>
      <c r="P293" s="20"/>
      <c r="Q293" s="20"/>
      <c r="R293" s="20"/>
      <c r="S293" s="20"/>
      <c r="T293"/>
      <c r="U293"/>
      <c r="V293"/>
      <c r="W293"/>
      <c r="X293"/>
      <c r="Y293"/>
      <c r="Z293" s="16"/>
      <c r="AA293" s="16"/>
      <c r="AB293" s="55"/>
      <c r="AC293"/>
      <c r="AD293"/>
      <c r="AE293"/>
      <c r="AF293"/>
      <c r="AG293"/>
      <c r="AH293"/>
      <c r="AI293"/>
      <c r="AJ293"/>
      <c r="AK293"/>
      <c r="AL293"/>
      <c r="AM293"/>
      <c r="AN293"/>
      <c r="AO293"/>
      <c r="AP293"/>
      <c r="AQ293"/>
      <c r="AS293" s="55"/>
      <c r="AT293"/>
      <c r="AU293" s="41"/>
      <c r="AV293" s="16"/>
      <c r="AW293" s="16"/>
      <c r="AX293" s="16"/>
      <c r="AY293" s="16"/>
      <c r="AZ293" s="16"/>
      <c r="BA293" s="16"/>
      <c r="BB293" s="16"/>
      <c r="BC293" s="16"/>
      <c r="BD293" s="16"/>
      <c r="BE293" s="16"/>
      <c r="BF293" s="16"/>
      <c r="BG293" s="16"/>
      <c r="BH293" s="16"/>
      <c r="BI293"/>
      <c r="BJ293"/>
      <c r="BK293"/>
      <c r="BL293"/>
      <c r="BM293"/>
      <c r="BN293"/>
      <c r="BO293"/>
      <c r="BP293"/>
      <c r="BQ293" s="55"/>
      <c r="BR293"/>
      <c r="BS293"/>
      <c r="BT293"/>
      <c r="BU293"/>
      <c r="BV293"/>
      <c r="BW293"/>
      <c r="BX293"/>
      <c r="BY293"/>
      <c r="BZ293"/>
      <c r="CA293"/>
      <c r="CB293"/>
      <c r="CC293"/>
      <c r="CD293"/>
      <c r="CE293"/>
      <c r="CF293"/>
      <c r="CH293" s="55"/>
      <c r="CI293"/>
      <c r="CJ293" s="16"/>
      <c r="CK293" s="16"/>
      <c r="CL293" s="28"/>
      <c r="CM293" s="28"/>
      <c r="CN293" s="28"/>
      <c r="CO293" s="28"/>
      <c r="CP293" s="28"/>
      <c r="CQ293" s="28"/>
      <c r="CR293" s="28"/>
      <c r="CS293" s="28"/>
      <c r="CT293" s="28"/>
      <c r="CU293" s="28"/>
      <c r="CV293" s="28"/>
      <c r="CW293" s="28"/>
      <c r="CX293" s="28"/>
      <c r="CY293" s="28"/>
      <c r="CZ293" s="28"/>
      <c r="DA293" s="28"/>
      <c r="DB293" s="28"/>
      <c r="DC293" s="28"/>
      <c r="DD293" s="28"/>
      <c r="DF293" s="55"/>
      <c r="DX293" s="28"/>
    </row>
    <row r="294" spans="1:128" s="19" customFormat="1" ht="16" customHeight="1">
      <c r="A294" s="18"/>
      <c r="B294" s="17"/>
      <c r="C294" s="16"/>
      <c r="D294" s="16"/>
      <c r="E294" s="16"/>
      <c r="F294" s="16"/>
      <c r="G294" s="16"/>
      <c r="H294" s="20"/>
      <c r="I294" s="20"/>
      <c r="J294" s="20"/>
      <c r="K294" s="20"/>
      <c r="L294" s="20"/>
      <c r="M294" s="20"/>
      <c r="N294" s="20"/>
      <c r="O294" s="20"/>
      <c r="P294" s="20"/>
      <c r="Q294" s="20"/>
      <c r="R294" s="20"/>
      <c r="S294" s="20"/>
      <c r="T294"/>
      <c r="U294"/>
      <c r="V294"/>
      <c r="W294"/>
      <c r="X294"/>
      <c r="Y294"/>
      <c r="Z294" s="16"/>
      <c r="AA294" s="16"/>
      <c r="AB294" s="55"/>
      <c r="AC294"/>
      <c r="AD294"/>
      <c r="AE294"/>
      <c r="AF294"/>
      <c r="AG294"/>
      <c r="AH294"/>
      <c r="AI294"/>
      <c r="AJ294"/>
      <c r="AK294"/>
      <c r="AL294"/>
      <c r="AM294"/>
      <c r="AN294"/>
      <c r="AO294"/>
      <c r="AP294"/>
      <c r="AQ294"/>
      <c r="AS294" s="55"/>
      <c r="AT294"/>
      <c r="AU294" s="41"/>
      <c r="AV294" s="16"/>
      <c r="AW294" s="16"/>
      <c r="AX294" s="16"/>
      <c r="AY294" s="16"/>
      <c r="AZ294" s="16"/>
      <c r="BA294" s="16"/>
      <c r="BB294" s="16"/>
      <c r="BC294" s="16"/>
      <c r="BD294" s="16"/>
      <c r="BE294" s="16"/>
      <c r="BF294" s="16"/>
      <c r="BG294" s="16"/>
      <c r="BH294" s="16"/>
      <c r="BI294"/>
      <c r="BJ294"/>
      <c r="BK294"/>
      <c r="BL294"/>
      <c r="BM294"/>
      <c r="BN294"/>
      <c r="BO294"/>
      <c r="BP294"/>
      <c r="BQ294" s="55"/>
      <c r="BR294"/>
      <c r="BS294"/>
      <c r="BT294"/>
      <c r="BU294"/>
      <c r="BV294"/>
      <c r="BW294"/>
      <c r="BX294"/>
      <c r="BY294"/>
      <c r="BZ294"/>
      <c r="CA294"/>
      <c r="CB294"/>
      <c r="CC294"/>
      <c r="CD294"/>
      <c r="CE294"/>
      <c r="CF294"/>
      <c r="CH294" s="55"/>
      <c r="CI294"/>
      <c r="CJ294" s="16"/>
      <c r="CK294" s="16"/>
      <c r="CL294" s="28"/>
      <c r="CM294" s="28"/>
      <c r="CN294" s="28"/>
      <c r="CO294" s="28"/>
      <c r="CP294" s="28"/>
      <c r="CQ294" s="28"/>
      <c r="CR294" s="28"/>
      <c r="CS294" s="28"/>
      <c r="CT294" s="28"/>
      <c r="CU294" s="28"/>
      <c r="CV294" s="28"/>
      <c r="CW294" s="28"/>
      <c r="CX294" s="28"/>
      <c r="CY294" s="28"/>
      <c r="CZ294" s="28"/>
      <c r="DA294" s="28"/>
      <c r="DB294" s="28"/>
      <c r="DC294" s="28"/>
      <c r="DD294" s="28"/>
      <c r="DF294" s="55"/>
      <c r="DX294" s="28"/>
    </row>
    <row r="295" spans="1:128" s="19" customFormat="1" ht="16" customHeight="1">
      <c r="A295" s="18"/>
      <c r="B295" s="17"/>
      <c r="C295" s="16"/>
      <c r="D295" s="16"/>
      <c r="E295" s="16"/>
      <c r="F295" s="16"/>
      <c r="G295" s="16"/>
      <c r="H295" s="20"/>
      <c r="I295" s="20"/>
      <c r="J295" s="20"/>
      <c r="K295" s="20"/>
      <c r="L295" s="20"/>
      <c r="M295" s="20"/>
      <c r="N295" s="20"/>
      <c r="O295" s="20"/>
      <c r="P295" s="20"/>
      <c r="Q295" s="20"/>
      <c r="R295" s="20"/>
      <c r="S295" s="20"/>
      <c r="T295"/>
      <c r="U295"/>
      <c r="V295"/>
      <c r="W295"/>
      <c r="X295"/>
      <c r="Y295"/>
      <c r="Z295" s="16"/>
      <c r="AA295" s="16"/>
      <c r="AB295" s="55"/>
      <c r="AC295"/>
      <c r="AD295"/>
      <c r="AE295"/>
      <c r="AF295"/>
      <c r="AG295"/>
      <c r="AH295"/>
      <c r="AI295"/>
      <c r="AJ295"/>
      <c r="AK295"/>
      <c r="AL295"/>
      <c r="AM295"/>
      <c r="AN295"/>
      <c r="AO295"/>
      <c r="AP295"/>
      <c r="AQ295"/>
      <c r="AS295" s="55"/>
      <c r="AT295"/>
      <c r="AU295" s="41"/>
      <c r="AV295" s="16"/>
      <c r="AW295" s="16"/>
      <c r="AX295" s="16"/>
      <c r="AY295" s="16"/>
      <c r="AZ295" s="16"/>
      <c r="BA295" s="16"/>
      <c r="BB295" s="16"/>
      <c r="BC295" s="16"/>
      <c r="BD295" s="16"/>
      <c r="BE295" s="16"/>
      <c r="BF295" s="16"/>
      <c r="BG295" s="16"/>
      <c r="BH295" s="16"/>
      <c r="BI295"/>
      <c r="BJ295"/>
      <c r="BK295"/>
      <c r="BL295"/>
      <c r="BM295"/>
      <c r="BN295"/>
      <c r="BO295"/>
      <c r="BP295"/>
      <c r="BQ295" s="55"/>
      <c r="BR295"/>
      <c r="BS295"/>
      <c r="BT295"/>
      <c r="BU295"/>
      <c r="BV295"/>
      <c r="BW295"/>
      <c r="BX295"/>
      <c r="BY295"/>
      <c r="BZ295"/>
      <c r="CA295"/>
      <c r="CB295"/>
      <c r="CC295"/>
      <c r="CD295"/>
      <c r="CE295"/>
      <c r="CF295"/>
      <c r="CH295" s="55"/>
      <c r="CI295"/>
      <c r="CJ295" s="16"/>
      <c r="CK295" s="16"/>
      <c r="CL295" s="28"/>
      <c r="CM295" s="28"/>
      <c r="CN295" s="28"/>
      <c r="CO295" s="28"/>
      <c r="CP295" s="28"/>
      <c r="CQ295" s="28"/>
      <c r="CR295" s="28"/>
      <c r="CS295" s="28"/>
      <c r="CT295" s="28"/>
      <c r="CU295" s="28"/>
      <c r="CV295" s="28"/>
      <c r="CW295" s="28"/>
      <c r="CX295" s="28"/>
      <c r="CY295" s="28"/>
      <c r="CZ295" s="28"/>
      <c r="DA295" s="28"/>
      <c r="DB295" s="28"/>
      <c r="DC295" s="28"/>
      <c r="DD295" s="28"/>
      <c r="DF295" s="55"/>
      <c r="DX295" s="28"/>
    </row>
    <row r="296" spans="1:128" s="19" customFormat="1" ht="16" customHeight="1">
      <c r="A296" s="18"/>
      <c r="B296" s="17"/>
      <c r="C296" s="16"/>
      <c r="D296" s="16"/>
      <c r="E296" s="16"/>
      <c r="F296" s="16"/>
      <c r="G296" s="16"/>
      <c r="H296" s="20"/>
      <c r="I296" s="20"/>
      <c r="J296" s="20"/>
      <c r="K296" s="20"/>
      <c r="L296" s="20"/>
      <c r="M296" s="20"/>
      <c r="N296" s="20"/>
      <c r="O296" s="20"/>
      <c r="P296" s="20"/>
      <c r="Q296" s="20"/>
      <c r="R296" s="20"/>
      <c r="S296" s="20"/>
      <c r="T296"/>
      <c r="U296"/>
      <c r="V296"/>
      <c r="W296"/>
      <c r="X296"/>
      <c r="Y296"/>
      <c r="Z296" s="16"/>
      <c r="AA296" s="16"/>
      <c r="AB296" s="55"/>
      <c r="AC296"/>
      <c r="AD296"/>
      <c r="AE296"/>
      <c r="AF296"/>
      <c r="AG296"/>
      <c r="AH296"/>
      <c r="AI296"/>
      <c r="AJ296"/>
      <c r="AK296"/>
      <c r="AL296"/>
      <c r="AM296"/>
      <c r="AN296"/>
      <c r="AO296"/>
      <c r="AP296"/>
      <c r="AQ296"/>
      <c r="AS296" s="55"/>
      <c r="AT296"/>
      <c r="AU296" s="41"/>
      <c r="AV296" s="16"/>
      <c r="AW296" s="16"/>
      <c r="AX296" s="16"/>
      <c r="AY296" s="16"/>
      <c r="AZ296" s="16"/>
      <c r="BA296" s="16"/>
      <c r="BB296" s="16"/>
      <c r="BC296" s="16"/>
      <c r="BD296" s="16"/>
      <c r="BE296" s="16"/>
      <c r="BF296" s="16"/>
      <c r="BG296" s="16"/>
      <c r="BH296" s="16"/>
      <c r="BI296"/>
      <c r="BJ296"/>
      <c r="BK296"/>
      <c r="BL296"/>
      <c r="BM296"/>
      <c r="BN296"/>
      <c r="BO296"/>
      <c r="BP296"/>
      <c r="BQ296" s="55"/>
      <c r="BR296"/>
      <c r="BS296"/>
      <c r="BT296"/>
      <c r="BU296"/>
      <c r="BV296"/>
      <c r="BW296"/>
      <c r="BX296"/>
      <c r="BY296"/>
      <c r="BZ296"/>
      <c r="CA296"/>
      <c r="CB296"/>
      <c r="CC296"/>
      <c r="CD296"/>
      <c r="CE296"/>
      <c r="CF296"/>
      <c r="CH296" s="55"/>
      <c r="CI296"/>
      <c r="CJ296" s="16"/>
      <c r="CK296" s="16"/>
      <c r="CL296" s="28"/>
      <c r="CM296" s="28"/>
      <c r="CN296" s="28"/>
      <c r="CO296" s="28"/>
      <c r="CP296" s="28"/>
      <c r="CQ296" s="28"/>
      <c r="CR296" s="28"/>
      <c r="CS296" s="28"/>
      <c r="CT296" s="28"/>
      <c r="CU296" s="28"/>
      <c r="CV296" s="28"/>
      <c r="CW296" s="28"/>
      <c r="CX296" s="28"/>
      <c r="CY296" s="28"/>
      <c r="CZ296" s="28"/>
      <c r="DA296" s="28"/>
      <c r="DB296" s="28"/>
      <c r="DC296" s="28"/>
      <c r="DD296" s="28"/>
      <c r="DF296" s="55"/>
      <c r="DX296" s="28"/>
    </row>
    <row r="297" spans="1:128" s="19" customFormat="1" ht="16" customHeight="1">
      <c r="A297" s="18"/>
      <c r="B297" s="17"/>
      <c r="C297" s="16"/>
      <c r="D297" s="16"/>
      <c r="E297" s="16"/>
      <c r="F297" s="16"/>
      <c r="G297" s="16"/>
      <c r="H297" s="20"/>
      <c r="I297" s="20"/>
      <c r="J297" s="20"/>
      <c r="K297" s="20"/>
      <c r="L297" s="20"/>
      <c r="M297" s="20"/>
      <c r="N297" s="20"/>
      <c r="O297" s="20"/>
      <c r="P297" s="20"/>
      <c r="Q297" s="20"/>
      <c r="R297" s="20"/>
      <c r="S297" s="20"/>
      <c r="T297"/>
      <c r="U297"/>
      <c r="V297"/>
      <c r="W297"/>
      <c r="X297"/>
      <c r="Y297"/>
      <c r="Z297" s="16"/>
      <c r="AA297" s="16"/>
      <c r="AB297" s="55"/>
      <c r="AC297"/>
      <c r="AD297"/>
      <c r="AE297"/>
      <c r="AF297"/>
      <c r="AG297"/>
      <c r="AH297"/>
      <c r="AI297"/>
      <c r="AJ297"/>
      <c r="AK297"/>
      <c r="AL297"/>
      <c r="AM297"/>
      <c r="AN297"/>
      <c r="AO297"/>
      <c r="AP297"/>
      <c r="AQ297"/>
      <c r="AS297" s="55"/>
      <c r="AT297"/>
      <c r="AU297" s="41"/>
      <c r="AV297" s="16"/>
      <c r="AW297" s="16"/>
      <c r="AX297" s="16"/>
      <c r="AY297" s="16"/>
      <c r="AZ297" s="16"/>
      <c r="BA297" s="16"/>
      <c r="BB297" s="16"/>
      <c r="BC297" s="16"/>
      <c r="BD297" s="16"/>
      <c r="BE297" s="16"/>
      <c r="BF297" s="16"/>
      <c r="BG297" s="16"/>
      <c r="BH297" s="16"/>
      <c r="BI297"/>
      <c r="BJ297"/>
      <c r="BK297"/>
      <c r="BL297"/>
      <c r="BM297"/>
      <c r="BN297"/>
      <c r="BO297"/>
      <c r="BP297"/>
      <c r="BQ297" s="55"/>
      <c r="BR297"/>
      <c r="BS297"/>
      <c r="BT297"/>
      <c r="BU297"/>
      <c r="BV297"/>
      <c r="BW297"/>
      <c r="BX297"/>
      <c r="BY297"/>
      <c r="BZ297"/>
      <c r="CA297"/>
      <c r="CB297"/>
      <c r="CC297"/>
      <c r="CD297"/>
      <c r="CE297"/>
      <c r="CF297"/>
      <c r="CH297" s="55"/>
      <c r="CI297"/>
      <c r="CJ297" s="16"/>
      <c r="CK297" s="16"/>
      <c r="CL297" s="28"/>
      <c r="CM297" s="28"/>
      <c r="CN297" s="28"/>
      <c r="CO297" s="28"/>
      <c r="CP297" s="28"/>
      <c r="CQ297" s="28"/>
      <c r="CR297" s="28"/>
      <c r="CS297" s="28"/>
      <c r="CT297" s="28"/>
      <c r="CU297" s="28"/>
      <c r="CV297" s="28"/>
      <c r="CW297" s="28"/>
      <c r="CX297" s="28"/>
      <c r="CY297" s="28"/>
      <c r="CZ297" s="28"/>
      <c r="DA297" s="28"/>
      <c r="DB297" s="28"/>
      <c r="DC297" s="28"/>
      <c r="DD297" s="28"/>
      <c r="DF297" s="55"/>
      <c r="DX297" s="28"/>
    </row>
    <row r="298" spans="1:128" s="19" customFormat="1" ht="16" customHeight="1">
      <c r="A298" s="18"/>
      <c r="B298" s="17"/>
      <c r="C298" s="16"/>
      <c r="D298" s="16"/>
      <c r="E298" s="16"/>
      <c r="F298" s="16"/>
      <c r="G298" s="16"/>
      <c r="H298" s="20"/>
      <c r="I298" s="20"/>
      <c r="J298" s="20"/>
      <c r="K298" s="20"/>
      <c r="L298" s="20"/>
      <c r="M298" s="20"/>
      <c r="N298" s="20"/>
      <c r="O298" s="20"/>
      <c r="P298" s="20"/>
      <c r="Q298" s="20"/>
      <c r="R298" s="20"/>
      <c r="S298" s="20"/>
      <c r="T298"/>
      <c r="U298"/>
      <c r="V298"/>
      <c r="W298"/>
      <c r="X298"/>
      <c r="Y298"/>
      <c r="Z298" s="16"/>
      <c r="AA298" s="16"/>
      <c r="AB298" s="55"/>
      <c r="AC298"/>
      <c r="AD298"/>
      <c r="AE298"/>
      <c r="AF298"/>
      <c r="AG298"/>
      <c r="AH298"/>
      <c r="AI298"/>
      <c r="AJ298"/>
      <c r="AK298"/>
      <c r="AL298"/>
      <c r="AM298"/>
      <c r="AN298"/>
      <c r="AO298"/>
      <c r="AP298"/>
      <c r="AQ298"/>
      <c r="AS298" s="55"/>
      <c r="AT298"/>
      <c r="AU298" s="41"/>
      <c r="AV298" s="16"/>
      <c r="AW298" s="16"/>
      <c r="AX298" s="16"/>
      <c r="AY298" s="16"/>
      <c r="AZ298" s="16"/>
      <c r="BA298" s="16"/>
      <c r="BB298" s="16"/>
      <c r="BC298" s="16"/>
      <c r="BD298" s="16"/>
      <c r="BE298" s="16"/>
      <c r="BF298" s="16"/>
      <c r="BG298" s="16"/>
      <c r="BH298" s="16"/>
      <c r="BI298"/>
      <c r="BJ298"/>
      <c r="BK298"/>
      <c r="BL298"/>
      <c r="BM298"/>
      <c r="BN298"/>
      <c r="BO298"/>
      <c r="BP298"/>
      <c r="BQ298" s="55"/>
      <c r="BR298"/>
      <c r="BS298"/>
      <c r="BT298"/>
      <c r="BU298"/>
      <c r="BV298"/>
      <c r="BW298"/>
      <c r="BX298"/>
      <c r="BY298"/>
      <c r="BZ298"/>
      <c r="CA298"/>
      <c r="CB298"/>
      <c r="CC298"/>
      <c r="CD298"/>
      <c r="CE298"/>
      <c r="CF298"/>
      <c r="CH298" s="55"/>
      <c r="CI298"/>
      <c r="CJ298" s="16"/>
      <c r="CK298" s="16"/>
      <c r="CL298" s="28"/>
      <c r="CM298" s="28"/>
      <c r="CN298" s="28"/>
      <c r="CO298" s="28"/>
      <c r="CP298" s="28"/>
      <c r="CQ298" s="28"/>
      <c r="CR298" s="28"/>
      <c r="CS298" s="28"/>
      <c r="CT298" s="28"/>
      <c r="CU298" s="28"/>
      <c r="CV298" s="28"/>
      <c r="CW298" s="28"/>
      <c r="CX298" s="28"/>
      <c r="CY298" s="28"/>
      <c r="CZ298" s="28"/>
      <c r="DA298" s="28"/>
      <c r="DB298" s="28"/>
      <c r="DC298" s="28"/>
      <c r="DD298" s="28"/>
      <c r="DF298" s="55"/>
      <c r="DX298" s="28"/>
    </row>
    <row r="299" spans="1:128" s="19" customFormat="1" ht="16" customHeight="1">
      <c r="A299" s="18"/>
      <c r="B299" s="17"/>
      <c r="C299" s="16"/>
      <c r="D299" s="16"/>
      <c r="E299" s="16"/>
      <c r="F299" s="16"/>
      <c r="G299" s="16"/>
      <c r="H299" s="20"/>
      <c r="I299" s="20"/>
      <c r="J299" s="20"/>
      <c r="K299" s="20"/>
      <c r="L299" s="20"/>
      <c r="M299" s="20"/>
      <c r="N299" s="20"/>
      <c r="O299" s="20"/>
      <c r="P299" s="20"/>
      <c r="Q299" s="20"/>
      <c r="R299" s="20"/>
      <c r="S299" s="20"/>
      <c r="T299"/>
      <c r="U299"/>
      <c r="V299"/>
      <c r="W299"/>
      <c r="X299"/>
      <c r="Y299"/>
      <c r="Z299" s="16"/>
      <c r="AA299" s="16"/>
      <c r="AB299" s="55"/>
      <c r="AC299"/>
      <c r="AD299"/>
      <c r="AE299"/>
      <c r="AF299"/>
      <c r="AG299"/>
      <c r="AH299"/>
      <c r="AI299"/>
      <c r="AJ299"/>
      <c r="AK299"/>
      <c r="AL299"/>
      <c r="AM299"/>
      <c r="AN299"/>
      <c r="AO299"/>
      <c r="AP299"/>
      <c r="AQ299"/>
      <c r="AS299" s="55"/>
      <c r="AT299"/>
      <c r="AU299" s="41"/>
      <c r="AV299" s="16"/>
      <c r="AW299" s="16"/>
      <c r="AX299" s="16"/>
      <c r="AY299" s="16"/>
      <c r="AZ299" s="16"/>
      <c r="BA299" s="16"/>
      <c r="BB299" s="16"/>
      <c r="BC299" s="16"/>
      <c r="BD299" s="16"/>
      <c r="BE299" s="16"/>
      <c r="BF299" s="16"/>
      <c r="BG299" s="16"/>
      <c r="BH299" s="16"/>
      <c r="BI299"/>
      <c r="BJ299"/>
      <c r="BK299"/>
      <c r="BL299"/>
      <c r="BM299"/>
      <c r="BN299"/>
      <c r="BO299"/>
      <c r="BP299"/>
      <c r="BQ299" s="55"/>
      <c r="BR299"/>
      <c r="BS299"/>
      <c r="BT299"/>
      <c r="BU299"/>
      <c r="BV299"/>
      <c r="BW299"/>
      <c r="BX299"/>
      <c r="BY299"/>
      <c r="BZ299"/>
      <c r="CA299"/>
      <c r="CB299"/>
      <c r="CC299"/>
      <c r="CD299"/>
      <c r="CE299"/>
      <c r="CF299"/>
      <c r="CH299" s="55"/>
      <c r="CI299"/>
      <c r="CJ299" s="16"/>
      <c r="CK299" s="16"/>
      <c r="CL299" s="28"/>
      <c r="CM299" s="28"/>
      <c r="CN299" s="28"/>
      <c r="CO299" s="28"/>
      <c r="CP299" s="28"/>
      <c r="CQ299" s="28"/>
      <c r="CR299" s="28"/>
      <c r="CS299" s="28"/>
      <c r="CT299" s="28"/>
      <c r="CU299" s="28"/>
      <c r="CV299" s="28"/>
      <c r="CW299" s="28"/>
      <c r="CX299" s="28"/>
      <c r="CY299" s="28"/>
      <c r="CZ299" s="28"/>
      <c r="DA299" s="28"/>
      <c r="DB299" s="28"/>
      <c r="DC299" s="28"/>
      <c r="DD299" s="28"/>
      <c r="DF299" s="55"/>
      <c r="DX299" s="28"/>
    </row>
    <row r="300" spans="1:128" s="19" customFormat="1" ht="16" customHeight="1">
      <c r="A300" s="18"/>
      <c r="B300" s="17"/>
      <c r="C300" s="16"/>
      <c r="D300" s="16"/>
      <c r="E300" s="16"/>
      <c r="F300" s="16"/>
      <c r="G300" s="16"/>
      <c r="H300" s="20"/>
      <c r="I300" s="20"/>
      <c r="J300" s="20"/>
      <c r="K300" s="20"/>
      <c r="L300" s="20"/>
      <c r="M300" s="20"/>
      <c r="N300" s="20"/>
      <c r="O300" s="20"/>
      <c r="P300" s="20"/>
      <c r="Q300" s="20"/>
      <c r="R300" s="20"/>
      <c r="S300" s="20"/>
      <c r="T300"/>
      <c r="U300"/>
      <c r="V300"/>
      <c r="W300"/>
      <c r="X300"/>
      <c r="Y300"/>
      <c r="Z300" s="16"/>
      <c r="AA300" s="16"/>
      <c r="AB300" s="55"/>
      <c r="AC300"/>
      <c r="AD300"/>
      <c r="AE300"/>
      <c r="AF300"/>
      <c r="AG300"/>
      <c r="AH300"/>
      <c r="AI300"/>
      <c r="AJ300"/>
      <c r="AK300"/>
      <c r="AL300"/>
      <c r="AM300"/>
      <c r="AN300"/>
      <c r="AO300"/>
      <c r="AP300"/>
      <c r="AQ300"/>
      <c r="AS300" s="55"/>
      <c r="AT300"/>
      <c r="AU300" s="41"/>
      <c r="AV300" s="16"/>
      <c r="AW300" s="16"/>
      <c r="AX300" s="16"/>
      <c r="AY300" s="16"/>
      <c r="AZ300" s="16"/>
      <c r="BA300" s="16"/>
      <c r="BB300" s="16"/>
      <c r="BC300" s="16"/>
      <c r="BD300" s="16"/>
      <c r="BE300" s="16"/>
      <c r="BF300" s="16"/>
      <c r="BG300" s="16"/>
      <c r="BH300" s="16"/>
      <c r="BI300"/>
      <c r="BJ300"/>
      <c r="BK300"/>
      <c r="BL300"/>
      <c r="BM300"/>
      <c r="BN300"/>
      <c r="BO300"/>
      <c r="BP300"/>
      <c r="BQ300" s="55"/>
      <c r="BR300"/>
      <c r="BS300"/>
      <c r="BT300"/>
      <c r="BU300"/>
      <c r="BV300"/>
      <c r="BW300"/>
      <c r="BX300"/>
      <c r="BY300"/>
      <c r="BZ300"/>
      <c r="CA300"/>
      <c r="CB300"/>
      <c r="CC300"/>
      <c r="CD300"/>
      <c r="CE300"/>
      <c r="CF300"/>
      <c r="CH300" s="55"/>
      <c r="CI300"/>
      <c r="CJ300" s="16"/>
      <c r="CK300" s="16"/>
      <c r="CL300" s="28"/>
      <c r="CM300" s="28"/>
      <c r="CN300" s="28"/>
      <c r="CO300" s="28"/>
      <c r="CP300" s="28"/>
      <c r="CQ300" s="28"/>
      <c r="CR300" s="28"/>
      <c r="CS300" s="28"/>
      <c r="CT300" s="28"/>
      <c r="CU300" s="28"/>
      <c r="CV300" s="28"/>
      <c r="CW300" s="28"/>
      <c r="CX300" s="28"/>
      <c r="CY300" s="28"/>
      <c r="CZ300" s="28"/>
      <c r="DA300" s="28"/>
      <c r="DB300" s="28"/>
      <c r="DC300" s="28"/>
      <c r="DD300" s="28"/>
      <c r="DF300" s="55"/>
      <c r="DX300" s="28"/>
    </row>
    <row r="301" spans="1:128" s="19" customFormat="1" ht="16" customHeight="1">
      <c r="A301" s="18"/>
      <c r="B301" s="17"/>
      <c r="C301" s="16"/>
      <c r="D301" s="16"/>
      <c r="E301" s="16"/>
      <c r="F301" s="16"/>
      <c r="G301" s="16"/>
      <c r="H301" s="20"/>
      <c r="I301" s="20"/>
      <c r="J301" s="20"/>
      <c r="K301" s="20"/>
      <c r="L301" s="20"/>
      <c r="M301" s="20"/>
      <c r="N301" s="20"/>
      <c r="O301" s="20"/>
      <c r="P301" s="20"/>
      <c r="Q301" s="20"/>
      <c r="R301" s="20"/>
      <c r="S301" s="20"/>
      <c r="T301"/>
      <c r="U301"/>
      <c r="V301"/>
      <c r="W301"/>
      <c r="X301"/>
      <c r="Y301"/>
      <c r="Z301" s="16"/>
      <c r="AA301" s="16"/>
      <c r="AB301" s="55"/>
      <c r="AC301"/>
      <c r="AD301"/>
      <c r="AE301"/>
      <c r="AF301"/>
      <c r="AG301"/>
      <c r="AH301"/>
      <c r="AI301"/>
      <c r="AJ301"/>
      <c r="AK301"/>
      <c r="AL301"/>
      <c r="AM301"/>
      <c r="AN301"/>
      <c r="AO301"/>
      <c r="AP301"/>
      <c r="AQ301"/>
      <c r="AS301" s="55"/>
      <c r="AT301"/>
      <c r="AU301" s="41"/>
      <c r="AV301" s="16"/>
      <c r="AW301" s="16"/>
      <c r="AX301" s="16"/>
      <c r="AY301" s="16"/>
      <c r="AZ301" s="16"/>
      <c r="BA301" s="16"/>
      <c r="BB301" s="16"/>
      <c r="BC301" s="16"/>
      <c r="BD301" s="16"/>
      <c r="BE301" s="16"/>
      <c r="BF301" s="16"/>
      <c r="BG301" s="16"/>
      <c r="BH301" s="16"/>
      <c r="BI301"/>
      <c r="BJ301"/>
      <c r="BK301"/>
      <c r="BL301"/>
      <c r="BM301"/>
      <c r="BN301"/>
      <c r="BO301"/>
      <c r="BP301"/>
      <c r="BQ301" s="55"/>
      <c r="BR301"/>
      <c r="BS301"/>
      <c r="BT301"/>
      <c r="BU301"/>
      <c r="BV301"/>
      <c r="BW301"/>
      <c r="BX301"/>
      <c r="BY301"/>
      <c r="BZ301"/>
      <c r="CA301"/>
      <c r="CB301"/>
      <c r="CC301"/>
      <c r="CD301"/>
      <c r="CE301"/>
      <c r="CF301"/>
      <c r="CH301" s="55"/>
      <c r="CI301"/>
      <c r="CJ301" s="16"/>
      <c r="CK301" s="16"/>
      <c r="CL301" s="28"/>
      <c r="CM301" s="28"/>
      <c r="CN301" s="28"/>
      <c r="CO301" s="28"/>
      <c r="CP301" s="28"/>
      <c r="CQ301" s="28"/>
      <c r="CR301" s="28"/>
      <c r="CS301" s="28"/>
      <c r="CT301" s="28"/>
      <c r="CU301" s="28"/>
      <c r="CV301" s="28"/>
      <c r="CW301" s="28"/>
      <c r="CX301" s="28"/>
      <c r="CY301" s="28"/>
      <c r="CZ301" s="28"/>
      <c r="DA301" s="28"/>
      <c r="DB301" s="28"/>
      <c r="DC301" s="28"/>
      <c r="DD301" s="28"/>
      <c r="DF301" s="55"/>
      <c r="DX301" s="28"/>
    </row>
    <row r="302" spans="1:128" s="19" customFormat="1" ht="16" customHeight="1">
      <c r="A302" s="18"/>
      <c r="B302" s="17"/>
      <c r="C302" s="16"/>
      <c r="D302" s="16"/>
      <c r="E302" s="16"/>
      <c r="F302" s="16"/>
      <c r="G302" s="16"/>
      <c r="H302" s="20"/>
      <c r="I302" s="20"/>
      <c r="J302" s="20"/>
      <c r="K302" s="20"/>
      <c r="L302" s="20"/>
      <c r="M302" s="20"/>
      <c r="N302" s="20"/>
      <c r="O302" s="20"/>
      <c r="P302" s="20"/>
      <c r="Q302" s="20"/>
      <c r="R302" s="20"/>
      <c r="S302" s="20"/>
      <c r="T302"/>
      <c r="U302"/>
      <c r="V302"/>
      <c r="W302"/>
      <c r="X302"/>
      <c r="Y302"/>
      <c r="Z302" s="16"/>
      <c r="AA302" s="16"/>
      <c r="AB302" s="55"/>
      <c r="AC302"/>
      <c r="AD302"/>
      <c r="AE302"/>
      <c r="AF302"/>
      <c r="AG302"/>
      <c r="AH302"/>
      <c r="AI302"/>
      <c r="AJ302"/>
      <c r="AK302"/>
      <c r="AL302"/>
      <c r="AM302"/>
      <c r="AN302"/>
      <c r="AO302"/>
      <c r="AP302"/>
      <c r="AQ302"/>
      <c r="AS302" s="55"/>
      <c r="AT302"/>
      <c r="AU302" s="41"/>
      <c r="AV302" s="16"/>
      <c r="AW302" s="16"/>
      <c r="AX302" s="16"/>
      <c r="AY302" s="16"/>
      <c r="AZ302" s="16"/>
      <c r="BA302" s="16"/>
      <c r="BB302" s="16"/>
      <c r="BC302" s="16"/>
      <c r="BD302" s="16"/>
      <c r="BE302" s="16"/>
      <c r="BF302" s="16"/>
      <c r="BG302" s="16"/>
      <c r="BH302" s="16"/>
      <c r="BI302"/>
      <c r="BJ302"/>
      <c r="BK302"/>
      <c r="BL302"/>
      <c r="BM302"/>
      <c r="BN302"/>
      <c r="BO302"/>
      <c r="BP302"/>
      <c r="BQ302" s="55"/>
      <c r="BR302"/>
      <c r="BS302"/>
      <c r="BT302"/>
      <c r="BU302"/>
      <c r="BV302"/>
      <c r="BW302"/>
      <c r="BX302"/>
      <c r="BY302"/>
      <c r="BZ302"/>
      <c r="CA302"/>
      <c r="CB302"/>
      <c r="CC302"/>
      <c r="CD302"/>
      <c r="CE302"/>
      <c r="CF302"/>
      <c r="CH302" s="55"/>
      <c r="CI302"/>
      <c r="CJ302" s="16"/>
      <c r="CK302" s="16"/>
      <c r="CL302" s="28"/>
      <c r="CM302" s="28"/>
      <c r="CN302" s="28"/>
      <c r="CO302" s="28"/>
      <c r="CP302" s="28"/>
      <c r="CQ302" s="28"/>
      <c r="CR302" s="28"/>
      <c r="CS302" s="28"/>
      <c r="CT302" s="28"/>
      <c r="CU302" s="28"/>
      <c r="CV302" s="28"/>
      <c r="CW302" s="28"/>
      <c r="CX302" s="28"/>
      <c r="CY302" s="28"/>
      <c r="CZ302" s="28"/>
      <c r="DA302" s="28"/>
      <c r="DB302" s="28"/>
      <c r="DC302" s="28"/>
      <c r="DD302" s="28"/>
      <c r="DF302" s="55"/>
      <c r="DX302" s="28"/>
    </row>
    <row r="303" spans="1:128" s="19" customFormat="1" ht="16" customHeight="1">
      <c r="A303" s="18"/>
      <c r="B303" s="17"/>
      <c r="C303" s="16"/>
      <c r="D303" s="16"/>
      <c r="E303" s="16"/>
      <c r="F303" s="16"/>
      <c r="G303" s="16"/>
      <c r="H303" s="20"/>
      <c r="I303" s="20"/>
      <c r="J303" s="20"/>
      <c r="K303" s="20"/>
      <c r="L303" s="20"/>
      <c r="M303" s="20"/>
      <c r="N303" s="20"/>
      <c r="O303" s="20"/>
      <c r="P303" s="20"/>
      <c r="Q303" s="20"/>
      <c r="R303" s="20"/>
      <c r="S303" s="20"/>
      <c r="T303"/>
      <c r="U303"/>
      <c r="V303"/>
      <c r="W303"/>
      <c r="X303"/>
      <c r="Y303"/>
      <c r="Z303" s="16"/>
      <c r="AA303" s="16"/>
      <c r="AB303" s="55"/>
      <c r="AC303"/>
      <c r="AD303"/>
      <c r="AE303"/>
      <c r="AF303"/>
      <c r="AG303"/>
      <c r="AH303"/>
      <c r="AI303"/>
      <c r="AJ303"/>
      <c r="AK303"/>
      <c r="AL303"/>
      <c r="AM303"/>
      <c r="AN303"/>
      <c r="AO303"/>
      <c r="AP303"/>
      <c r="AQ303"/>
      <c r="AS303" s="55"/>
      <c r="AT303"/>
      <c r="AU303" s="41"/>
      <c r="AV303" s="16"/>
      <c r="AW303" s="16"/>
      <c r="AX303" s="16"/>
      <c r="AY303" s="16"/>
      <c r="AZ303" s="16"/>
      <c r="BA303" s="16"/>
      <c r="BB303" s="16"/>
      <c r="BC303" s="16"/>
      <c r="BD303" s="16"/>
      <c r="BE303" s="16"/>
      <c r="BF303" s="16"/>
      <c r="BG303" s="16"/>
      <c r="BH303" s="16"/>
      <c r="BI303"/>
      <c r="BJ303"/>
      <c r="BK303"/>
      <c r="BL303"/>
      <c r="BM303"/>
      <c r="BN303"/>
      <c r="BO303"/>
      <c r="BP303"/>
      <c r="BQ303" s="55"/>
      <c r="BR303"/>
      <c r="BS303"/>
      <c r="BT303"/>
      <c r="BU303"/>
      <c r="BV303"/>
      <c r="BW303"/>
      <c r="BX303"/>
      <c r="BY303"/>
      <c r="BZ303"/>
      <c r="CA303"/>
      <c r="CB303"/>
      <c r="CC303"/>
      <c r="CD303"/>
      <c r="CE303"/>
      <c r="CF303"/>
      <c r="CH303" s="55"/>
      <c r="CI303"/>
      <c r="CJ303" s="16"/>
      <c r="CK303" s="16"/>
      <c r="CL303" s="28"/>
      <c r="CM303" s="28"/>
      <c r="CN303" s="28"/>
      <c r="CO303" s="28"/>
      <c r="CP303" s="28"/>
      <c r="CQ303" s="28"/>
      <c r="CR303" s="28"/>
      <c r="CS303" s="28"/>
      <c r="CT303" s="28"/>
      <c r="CU303" s="28"/>
      <c r="CV303" s="28"/>
      <c r="CW303" s="28"/>
      <c r="CX303" s="28"/>
      <c r="CY303" s="28"/>
      <c r="CZ303" s="28"/>
      <c r="DA303" s="28"/>
      <c r="DB303" s="28"/>
      <c r="DC303" s="28"/>
      <c r="DD303" s="28"/>
      <c r="DF303" s="55"/>
      <c r="DX303" s="28"/>
    </row>
    <row r="304" spans="1:128" s="19" customFormat="1" ht="16" customHeight="1">
      <c r="A304" s="18"/>
      <c r="B304" s="17"/>
      <c r="C304" s="16"/>
      <c r="D304" s="16"/>
      <c r="E304" s="16"/>
      <c r="F304" s="16"/>
      <c r="G304" s="16"/>
      <c r="H304" s="20"/>
      <c r="I304" s="20"/>
      <c r="J304" s="20"/>
      <c r="K304" s="20"/>
      <c r="L304" s="20"/>
      <c r="M304" s="20"/>
      <c r="N304" s="20"/>
      <c r="O304" s="20"/>
      <c r="P304" s="20"/>
      <c r="Q304" s="20"/>
      <c r="R304" s="20"/>
      <c r="S304" s="20"/>
      <c r="T304"/>
      <c r="U304"/>
      <c r="V304"/>
      <c r="W304"/>
      <c r="X304"/>
      <c r="Y304"/>
      <c r="Z304" s="16"/>
      <c r="AA304" s="16"/>
      <c r="AB304" s="55"/>
      <c r="AC304"/>
      <c r="AD304"/>
      <c r="AE304"/>
      <c r="AF304"/>
      <c r="AG304"/>
      <c r="AH304"/>
      <c r="AI304"/>
      <c r="AJ304"/>
      <c r="AK304"/>
      <c r="AL304"/>
      <c r="AM304"/>
      <c r="AN304"/>
      <c r="AO304"/>
      <c r="AP304"/>
      <c r="AQ304"/>
      <c r="AS304" s="55"/>
      <c r="AT304"/>
      <c r="AU304" s="41"/>
      <c r="AV304" s="16"/>
      <c r="AW304" s="16"/>
      <c r="AX304" s="16"/>
      <c r="AY304" s="16"/>
      <c r="AZ304" s="16"/>
      <c r="BA304" s="16"/>
      <c r="BB304" s="16"/>
      <c r="BC304" s="16"/>
      <c r="BD304" s="16"/>
      <c r="BE304" s="16"/>
      <c r="BF304" s="16"/>
      <c r="BG304" s="16"/>
      <c r="BH304" s="16"/>
      <c r="BI304"/>
      <c r="BJ304"/>
      <c r="BK304"/>
      <c r="BL304"/>
      <c r="BM304"/>
      <c r="BN304"/>
      <c r="BO304"/>
      <c r="BP304"/>
      <c r="BQ304" s="55"/>
      <c r="BR304"/>
      <c r="BS304"/>
      <c r="BT304"/>
      <c r="BU304"/>
      <c r="BV304"/>
      <c r="BW304"/>
      <c r="BX304"/>
      <c r="BY304"/>
      <c r="BZ304"/>
      <c r="CA304"/>
      <c r="CB304"/>
      <c r="CC304"/>
      <c r="CD304"/>
      <c r="CE304"/>
      <c r="CF304"/>
      <c r="CH304" s="55"/>
      <c r="CI304"/>
      <c r="CJ304" s="16"/>
      <c r="CK304" s="16"/>
      <c r="CL304" s="28"/>
      <c r="CM304" s="28"/>
      <c r="CN304" s="28"/>
      <c r="CO304" s="28"/>
      <c r="CP304" s="28"/>
      <c r="CQ304" s="28"/>
      <c r="CR304" s="28"/>
      <c r="CS304" s="28"/>
      <c r="CT304" s="28"/>
      <c r="CU304" s="28"/>
      <c r="CV304" s="28"/>
      <c r="CW304" s="28"/>
      <c r="CX304" s="28"/>
      <c r="CY304" s="28"/>
      <c r="CZ304" s="28"/>
      <c r="DA304" s="28"/>
      <c r="DB304" s="28"/>
      <c r="DC304" s="28"/>
      <c r="DD304" s="28"/>
      <c r="DF304" s="55"/>
      <c r="DX304" s="28"/>
    </row>
    <row r="305" spans="1:128" s="19" customFormat="1" ht="16" customHeight="1">
      <c r="A305" s="18"/>
      <c r="B305" s="17"/>
      <c r="C305" s="16"/>
      <c r="D305" s="16"/>
      <c r="E305" s="16"/>
      <c r="F305" s="16"/>
      <c r="G305" s="16"/>
      <c r="H305" s="20"/>
      <c r="I305" s="20"/>
      <c r="J305" s="20"/>
      <c r="K305" s="20"/>
      <c r="L305" s="20"/>
      <c r="M305" s="20"/>
      <c r="N305" s="20"/>
      <c r="O305" s="20"/>
      <c r="P305" s="20"/>
      <c r="Q305" s="20"/>
      <c r="R305" s="20"/>
      <c r="S305" s="20"/>
      <c r="T305"/>
      <c r="U305"/>
      <c r="V305"/>
      <c r="W305"/>
      <c r="X305"/>
      <c r="Y305"/>
      <c r="Z305" s="16"/>
      <c r="AA305" s="16"/>
      <c r="AB305" s="55"/>
      <c r="AC305"/>
      <c r="AD305"/>
      <c r="AE305"/>
      <c r="AF305"/>
      <c r="AG305"/>
      <c r="AH305"/>
      <c r="AI305"/>
      <c r="AJ305"/>
      <c r="AK305"/>
      <c r="AL305"/>
      <c r="AM305"/>
      <c r="AN305"/>
      <c r="AO305"/>
      <c r="AP305"/>
      <c r="AQ305"/>
      <c r="AS305" s="55"/>
      <c r="AT305"/>
      <c r="AU305" s="41"/>
      <c r="AV305" s="16"/>
      <c r="AW305" s="16"/>
      <c r="AX305" s="16"/>
      <c r="AY305" s="16"/>
      <c r="AZ305" s="16"/>
      <c r="BA305" s="16"/>
      <c r="BB305" s="16"/>
      <c r="BC305" s="16"/>
      <c r="BD305" s="16"/>
      <c r="BE305" s="16"/>
      <c r="BF305" s="16"/>
      <c r="BG305" s="16"/>
      <c r="BH305" s="16"/>
      <c r="BI305"/>
      <c r="BJ305"/>
      <c r="BK305"/>
      <c r="BL305"/>
      <c r="BM305"/>
      <c r="BN305"/>
      <c r="BO305"/>
      <c r="BP305"/>
      <c r="BQ305" s="55"/>
      <c r="BR305"/>
      <c r="BS305"/>
      <c r="BT305"/>
      <c r="BU305"/>
      <c r="BV305"/>
      <c r="BW305"/>
      <c r="BX305"/>
      <c r="BY305"/>
      <c r="BZ305"/>
      <c r="CA305"/>
      <c r="CB305"/>
      <c r="CC305"/>
      <c r="CD305"/>
      <c r="CE305"/>
      <c r="CF305"/>
      <c r="CH305" s="55"/>
      <c r="CI305"/>
      <c r="CJ305" s="16"/>
      <c r="CK305" s="16"/>
      <c r="CL305" s="28"/>
      <c r="CM305" s="28"/>
      <c r="CN305" s="28"/>
      <c r="CO305" s="28"/>
      <c r="CP305" s="28"/>
      <c r="CQ305" s="28"/>
      <c r="CR305" s="28"/>
      <c r="CS305" s="28"/>
      <c r="CT305" s="28"/>
      <c r="CU305" s="28"/>
      <c r="CV305" s="28"/>
      <c r="CW305" s="28"/>
      <c r="CX305" s="28"/>
      <c r="CY305" s="28"/>
      <c r="CZ305" s="28"/>
      <c r="DA305" s="28"/>
      <c r="DB305" s="28"/>
      <c r="DC305" s="28"/>
      <c r="DD305" s="28"/>
      <c r="DF305" s="55"/>
      <c r="DX305" s="28"/>
    </row>
    <row r="306" spans="1:128" s="19" customFormat="1" ht="16" customHeight="1">
      <c r="A306" s="18"/>
      <c r="B306" s="17"/>
      <c r="C306" s="16"/>
      <c r="D306" s="16"/>
      <c r="E306" s="16"/>
      <c r="F306" s="16"/>
      <c r="G306" s="16"/>
      <c r="H306" s="20"/>
      <c r="I306" s="20"/>
      <c r="J306" s="20"/>
      <c r="K306" s="20"/>
      <c r="L306" s="20"/>
      <c r="M306" s="20"/>
      <c r="N306" s="20"/>
      <c r="O306" s="20"/>
      <c r="P306" s="20"/>
      <c r="Q306" s="20"/>
      <c r="R306" s="20"/>
      <c r="S306" s="20"/>
      <c r="T306"/>
      <c r="U306"/>
      <c r="V306"/>
      <c r="W306"/>
      <c r="X306"/>
      <c r="Y306"/>
      <c r="Z306" s="16"/>
      <c r="AA306" s="16"/>
      <c r="AB306" s="55"/>
      <c r="AC306"/>
      <c r="AD306"/>
      <c r="AE306"/>
      <c r="AF306"/>
      <c r="AG306"/>
      <c r="AH306"/>
      <c r="AI306"/>
      <c r="AJ306"/>
      <c r="AK306"/>
      <c r="AL306"/>
      <c r="AM306"/>
      <c r="AN306"/>
      <c r="AO306"/>
      <c r="AP306"/>
      <c r="AQ306"/>
      <c r="AS306" s="55"/>
      <c r="AT306"/>
      <c r="AU306" s="41"/>
      <c r="AV306" s="16"/>
      <c r="AW306" s="16"/>
      <c r="AX306" s="16"/>
      <c r="AY306" s="16"/>
      <c r="AZ306" s="16"/>
      <c r="BA306" s="16"/>
      <c r="BB306" s="16"/>
      <c r="BC306" s="16"/>
      <c r="BD306" s="16"/>
      <c r="BE306" s="16"/>
      <c r="BF306" s="16"/>
      <c r="BG306" s="16"/>
      <c r="BH306" s="16"/>
      <c r="BI306"/>
      <c r="BJ306"/>
      <c r="BK306"/>
      <c r="BL306"/>
      <c r="BM306"/>
      <c r="BN306"/>
      <c r="BO306"/>
      <c r="BP306"/>
      <c r="BQ306" s="55"/>
      <c r="BR306"/>
      <c r="BS306"/>
      <c r="BT306"/>
      <c r="BU306"/>
      <c r="BV306"/>
      <c r="BW306"/>
      <c r="BX306"/>
      <c r="BY306"/>
      <c r="BZ306"/>
      <c r="CA306"/>
      <c r="CB306"/>
      <c r="CC306"/>
      <c r="CD306"/>
      <c r="CE306"/>
      <c r="CF306"/>
      <c r="CH306" s="55"/>
      <c r="CI306"/>
      <c r="CJ306" s="16"/>
      <c r="CK306" s="16"/>
      <c r="CL306" s="28"/>
      <c r="CM306" s="28"/>
      <c r="CN306" s="28"/>
      <c r="CO306" s="28"/>
      <c r="CP306" s="28"/>
      <c r="CQ306" s="28"/>
      <c r="CR306" s="28"/>
      <c r="CS306" s="28"/>
      <c r="CT306" s="28"/>
      <c r="CU306" s="28"/>
      <c r="CV306" s="28"/>
      <c r="CW306" s="28"/>
      <c r="CX306" s="28"/>
      <c r="CY306" s="28"/>
      <c r="CZ306" s="28"/>
      <c r="DA306" s="28"/>
      <c r="DB306" s="28"/>
      <c r="DC306" s="28"/>
      <c r="DD306" s="28"/>
      <c r="DF306" s="55"/>
      <c r="DX306" s="28"/>
    </row>
    <row r="307" spans="1:128" s="19" customFormat="1" ht="16" customHeight="1">
      <c r="A307" s="18"/>
      <c r="B307" s="17"/>
      <c r="C307" s="16"/>
      <c r="D307" s="16"/>
      <c r="E307" s="16"/>
      <c r="F307" s="16"/>
      <c r="G307" s="16"/>
      <c r="H307" s="20"/>
      <c r="I307" s="20"/>
      <c r="J307" s="20"/>
      <c r="K307" s="20"/>
      <c r="L307" s="20"/>
      <c r="M307" s="20"/>
      <c r="N307" s="20"/>
      <c r="O307" s="20"/>
      <c r="P307" s="20"/>
      <c r="Q307" s="20"/>
      <c r="R307" s="20"/>
      <c r="S307" s="20"/>
      <c r="T307"/>
      <c r="U307"/>
      <c r="V307"/>
      <c r="W307"/>
      <c r="X307"/>
      <c r="Y307"/>
      <c r="Z307" s="16"/>
      <c r="AA307" s="16"/>
      <c r="AB307" s="55"/>
      <c r="AC307"/>
      <c r="AD307"/>
      <c r="AE307"/>
      <c r="AF307"/>
      <c r="AG307"/>
      <c r="AH307"/>
      <c r="AI307"/>
      <c r="AJ307"/>
      <c r="AK307"/>
      <c r="AL307"/>
      <c r="AM307"/>
      <c r="AN307"/>
      <c r="AO307"/>
      <c r="AP307"/>
      <c r="AQ307"/>
      <c r="AS307" s="55"/>
      <c r="AT307"/>
      <c r="AU307" s="41"/>
      <c r="AV307" s="16"/>
      <c r="AW307" s="16"/>
      <c r="AX307" s="16"/>
      <c r="AY307" s="16"/>
      <c r="AZ307" s="16"/>
      <c r="BA307" s="16"/>
      <c r="BB307" s="16"/>
      <c r="BC307" s="16"/>
      <c r="BD307" s="16"/>
      <c r="BE307" s="16"/>
      <c r="BF307" s="16"/>
      <c r="BG307" s="16"/>
      <c r="BH307" s="16"/>
      <c r="BI307"/>
      <c r="BJ307"/>
      <c r="BK307"/>
      <c r="BL307"/>
      <c r="BM307"/>
      <c r="BN307"/>
      <c r="BO307"/>
      <c r="BP307"/>
      <c r="BQ307" s="55"/>
      <c r="BR307"/>
      <c r="BS307"/>
      <c r="BT307"/>
      <c r="BU307"/>
      <c r="BV307"/>
      <c r="BW307"/>
      <c r="BX307"/>
      <c r="BY307"/>
      <c r="BZ307"/>
      <c r="CA307"/>
      <c r="CB307"/>
      <c r="CC307"/>
      <c r="CD307"/>
      <c r="CE307"/>
      <c r="CF307"/>
      <c r="CH307" s="55"/>
      <c r="CI307"/>
      <c r="CJ307" s="16"/>
      <c r="CK307" s="16"/>
      <c r="CL307" s="28"/>
      <c r="CM307" s="28"/>
      <c r="CN307" s="28"/>
      <c r="CO307" s="28"/>
      <c r="CP307" s="28"/>
      <c r="CQ307" s="28"/>
      <c r="CR307" s="28"/>
      <c r="CS307" s="28"/>
      <c r="CT307" s="28"/>
      <c r="CU307" s="28"/>
      <c r="CV307" s="28"/>
      <c r="CW307" s="28"/>
      <c r="CX307" s="28"/>
      <c r="CY307" s="28"/>
      <c r="CZ307" s="28"/>
      <c r="DA307" s="28"/>
      <c r="DB307" s="28"/>
      <c r="DC307" s="28"/>
      <c r="DD307" s="28"/>
      <c r="DF307" s="55"/>
      <c r="DX307" s="28"/>
    </row>
    <row r="308" spans="1:128" s="19" customFormat="1" ht="16" customHeight="1">
      <c r="A308" s="18"/>
      <c r="B308" s="17"/>
      <c r="C308" s="16"/>
      <c r="D308" s="16"/>
      <c r="E308" s="16"/>
      <c r="F308" s="16"/>
      <c r="G308" s="16"/>
      <c r="H308" s="20"/>
      <c r="I308" s="20"/>
      <c r="J308" s="20"/>
      <c r="K308" s="20"/>
      <c r="L308" s="20"/>
      <c r="M308" s="20"/>
      <c r="N308" s="20"/>
      <c r="O308" s="20"/>
      <c r="P308" s="20"/>
      <c r="Q308" s="20"/>
      <c r="R308" s="20"/>
      <c r="S308" s="20"/>
      <c r="T308"/>
      <c r="U308"/>
      <c r="V308"/>
      <c r="W308"/>
      <c r="X308"/>
      <c r="Y308"/>
      <c r="Z308" s="16"/>
      <c r="AA308" s="16"/>
      <c r="AB308" s="55"/>
      <c r="AC308"/>
      <c r="AD308"/>
      <c r="AE308"/>
      <c r="AF308"/>
      <c r="AG308"/>
      <c r="AH308"/>
      <c r="AI308"/>
      <c r="AJ308"/>
      <c r="AK308"/>
      <c r="AL308"/>
      <c r="AM308"/>
      <c r="AN308"/>
      <c r="AO308"/>
      <c r="AP308"/>
      <c r="AQ308"/>
      <c r="AS308" s="55"/>
      <c r="AT308"/>
      <c r="AU308" s="41"/>
      <c r="AV308" s="16"/>
      <c r="AW308" s="16"/>
      <c r="AX308" s="16"/>
      <c r="AY308" s="16"/>
      <c r="AZ308" s="16"/>
      <c r="BA308" s="16"/>
      <c r="BB308" s="16"/>
      <c r="BC308" s="16"/>
      <c r="BD308" s="16"/>
      <c r="BE308" s="16"/>
      <c r="BF308" s="16"/>
      <c r="BG308" s="16"/>
      <c r="BH308" s="16"/>
      <c r="BI308"/>
      <c r="BJ308"/>
      <c r="BK308"/>
      <c r="BL308"/>
      <c r="BM308"/>
      <c r="BN308"/>
      <c r="BO308"/>
      <c r="BP308"/>
      <c r="BQ308" s="55"/>
      <c r="BR308"/>
      <c r="BS308"/>
      <c r="BT308"/>
      <c r="BU308"/>
      <c r="BV308"/>
      <c r="BW308"/>
      <c r="BX308"/>
      <c r="BY308"/>
      <c r="BZ308"/>
      <c r="CA308"/>
      <c r="CB308"/>
      <c r="CC308"/>
      <c r="CD308"/>
      <c r="CE308"/>
      <c r="CF308"/>
      <c r="CH308" s="55"/>
      <c r="CI308"/>
      <c r="CJ308" s="16"/>
      <c r="CK308" s="16"/>
      <c r="CL308" s="28"/>
      <c r="CM308" s="28"/>
      <c r="CN308" s="28"/>
      <c r="CO308" s="28"/>
      <c r="CP308" s="28"/>
      <c r="CQ308" s="28"/>
      <c r="CR308" s="28"/>
      <c r="CS308" s="28"/>
      <c r="CT308" s="28"/>
      <c r="CU308" s="28"/>
      <c r="CV308" s="28"/>
      <c r="CW308" s="28"/>
      <c r="CX308" s="28"/>
      <c r="CY308" s="28"/>
      <c r="CZ308" s="28"/>
      <c r="DA308" s="28"/>
      <c r="DB308" s="28"/>
      <c r="DC308" s="28"/>
      <c r="DD308" s="28"/>
      <c r="DF308" s="55"/>
      <c r="DX308" s="28"/>
    </row>
    <row r="309" spans="1:128" s="19" customFormat="1" ht="16" customHeight="1">
      <c r="A309" s="18"/>
      <c r="B309" s="17"/>
      <c r="C309" s="16"/>
      <c r="D309" s="16"/>
      <c r="E309" s="16"/>
      <c r="F309" s="16"/>
      <c r="G309" s="16"/>
      <c r="H309" s="20"/>
      <c r="I309" s="20"/>
      <c r="J309" s="20"/>
      <c r="K309" s="20"/>
      <c r="L309" s="20"/>
      <c r="M309" s="20"/>
      <c r="N309" s="20"/>
      <c r="O309" s="20"/>
      <c r="P309" s="20"/>
      <c r="Q309" s="20"/>
      <c r="R309" s="20"/>
      <c r="S309" s="20"/>
      <c r="T309"/>
      <c r="U309"/>
      <c r="V309"/>
      <c r="W309"/>
      <c r="X309"/>
      <c r="Y309"/>
      <c r="Z309" s="16"/>
      <c r="AA309" s="16"/>
      <c r="AB309" s="55"/>
      <c r="AC309"/>
      <c r="AD309"/>
      <c r="AE309"/>
      <c r="AF309"/>
      <c r="AG309"/>
      <c r="AH309"/>
      <c r="AI309"/>
      <c r="AJ309"/>
      <c r="AK309"/>
      <c r="AL309"/>
      <c r="AM309"/>
      <c r="AN309"/>
      <c r="AO309"/>
      <c r="AP309"/>
      <c r="AQ309"/>
      <c r="AS309" s="55"/>
      <c r="AT309"/>
      <c r="AU309" s="41"/>
      <c r="AV309" s="16"/>
      <c r="AW309" s="16"/>
      <c r="AX309" s="16"/>
      <c r="AY309" s="16"/>
      <c r="AZ309" s="16"/>
      <c r="BA309" s="16"/>
      <c r="BB309" s="16"/>
      <c r="BC309" s="16"/>
      <c r="BD309" s="16"/>
      <c r="BE309" s="16"/>
      <c r="BF309" s="16"/>
      <c r="BG309" s="16"/>
      <c r="BH309" s="16"/>
      <c r="BI309"/>
      <c r="BJ309"/>
      <c r="BK309"/>
      <c r="BL309"/>
      <c r="BM309"/>
      <c r="BN309"/>
      <c r="BO309"/>
      <c r="BP309"/>
      <c r="BQ309" s="55"/>
      <c r="BR309"/>
      <c r="BS309"/>
      <c r="BT309"/>
      <c r="BU309"/>
      <c r="BV309"/>
      <c r="BW309"/>
      <c r="BX309"/>
      <c r="BY309"/>
      <c r="BZ309"/>
      <c r="CA309"/>
      <c r="CB309"/>
      <c r="CC309"/>
      <c r="CD309"/>
      <c r="CE309"/>
      <c r="CF309"/>
      <c r="CH309" s="55"/>
      <c r="CI309"/>
      <c r="CJ309" s="16"/>
      <c r="CK309" s="16"/>
      <c r="CL309" s="28"/>
      <c r="CM309" s="28"/>
      <c r="CN309" s="28"/>
      <c r="CO309" s="28"/>
      <c r="CP309" s="28"/>
      <c r="CQ309" s="28"/>
      <c r="CR309" s="28"/>
      <c r="CS309" s="28"/>
      <c r="CT309" s="28"/>
      <c r="CU309" s="28"/>
      <c r="CV309" s="28"/>
      <c r="CW309" s="28"/>
      <c r="CX309" s="28"/>
      <c r="CY309" s="28"/>
      <c r="CZ309" s="28"/>
      <c r="DA309" s="28"/>
      <c r="DB309" s="28"/>
      <c r="DC309" s="28"/>
      <c r="DD309" s="28"/>
      <c r="DF309" s="55"/>
      <c r="DX309" s="28"/>
    </row>
    <row r="310" spans="1:128" s="19" customFormat="1" ht="16" customHeight="1">
      <c r="A310" s="18"/>
      <c r="B310" s="17"/>
      <c r="C310" s="16"/>
      <c r="D310" s="16"/>
      <c r="E310" s="16"/>
      <c r="F310" s="16"/>
      <c r="G310" s="16"/>
      <c r="H310" s="20"/>
      <c r="I310" s="20"/>
      <c r="J310" s="20"/>
      <c r="K310" s="20"/>
      <c r="L310" s="20"/>
      <c r="M310" s="20"/>
      <c r="N310" s="20"/>
      <c r="O310" s="20"/>
      <c r="P310" s="20"/>
      <c r="Q310" s="20"/>
      <c r="R310" s="20"/>
      <c r="S310" s="20"/>
      <c r="T310"/>
      <c r="U310"/>
      <c r="V310"/>
      <c r="W310"/>
      <c r="X310"/>
      <c r="Y310"/>
      <c r="Z310" s="16"/>
      <c r="AA310" s="16"/>
      <c r="AB310" s="55"/>
      <c r="AC310"/>
      <c r="AD310"/>
      <c r="AE310"/>
      <c r="AF310"/>
      <c r="AG310"/>
      <c r="AH310"/>
      <c r="AI310"/>
      <c r="AJ310"/>
      <c r="AK310"/>
      <c r="AL310"/>
      <c r="AM310"/>
      <c r="AN310"/>
      <c r="AO310"/>
      <c r="AP310"/>
      <c r="AQ310"/>
      <c r="AS310" s="55"/>
      <c r="AT310"/>
      <c r="AU310" s="41"/>
      <c r="AV310" s="16"/>
      <c r="AW310" s="16"/>
      <c r="AX310" s="16"/>
      <c r="AY310" s="16"/>
      <c r="AZ310" s="16"/>
      <c r="BA310" s="16"/>
      <c r="BB310" s="16"/>
      <c r="BC310" s="16"/>
      <c r="BD310" s="16"/>
      <c r="BE310" s="16"/>
      <c r="BF310" s="16"/>
      <c r="BG310" s="16"/>
      <c r="BH310" s="16"/>
      <c r="BI310"/>
      <c r="BJ310"/>
      <c r="BK310"/>
      <c r="BL310"/>
      <c r="BM310"/>
      <c r="BN310"/>
      <c r="BO310"/>
      <c r="BP310"/>
      <c r="BQ310" s="55"/>
      <c r="BR310"/>
      <c r="BS310"/>
      <c r="BT310"/>
      <c r="BU310"/>
      <c r="BV310"/>
      <c r="BW310"/>
      <c r="BX310"/>
      <c r="BY310"/>
      <c r="BZ310"/>
      <c r="CA310"/>
      <c r="CB310"/>
      <c r="CC310"/>
      <c r="CD310"/>
      <c r="CE310"/>
      <c r="CF310"/>
      <c r="CH310" s="55"/>
      <c r="CI310"/>
      <c r="CJ310" s="16"/>
      <c r="CK310" s="16"/>
      <c r="CL310" s="28"/>
      <c r="CM310" s="28"/>
      <c r="CN310" s="28"/>
      <c r="CO310" s="28"/>
      <c r="CP310" s="28"/>
      <c r="CQ310" s="28"/>
      <c r="CR310" s="28"/>
      <c r="CS310" s="28"/>
      <c r="CT310" s="28"/>
      <c r="CU310" s="28"/>
      <c r="CV310" s="28"/>
      <c r="CW310" s="28"/>
      <c r="CX310" s="28"/>
      <c r="CY310" s="28"/>
      <c r="CZ310" s="28"/>
      <c r="DA310" s="28"/>
      <c r="DB310" s="28"/>
      <c r="DC310" s="28"/>
      <c r="DD310" s="28"/>
      <c r="DF310" s="55"/>
      <c r="DX310" s="28"/>
    </row>
    <row r="311" spans="1:128" s="19" customFormat="1" ht="16" customHeight="1">
      <c r="A311" s="18"/>
      <c r="B311" s="17"/>
      <c r="C311" s="16"/>
      <c r="D311" s="16"/>
      <c r="E311" s="16"/>
      <c r="F311" s="16"/>
      <c r="G311" s="16"/>
      <c r="H311" s="20"/>
      <c r="I311" s="20"/>
      <c r="J311" s="20"/>
      <c r="K311" s="20"/>
      <c r="L311" s="20"/>
      <c r="M311" s="20"/>
      <c r="N311" s="20"/>
      <c r="O311" s="20"/>
      <c r="P311" s="20"/>
      <c r="Q311" s="20"/>
      <c r="R311" s="20"/>
      <c r="S311" s="20"/>
      <c r="T311"/>
      <c r="U311"/>
      <c r="V311"/>
      <c r="W311"/>
      <c r="X311"/>
      <c r="Y311"/>
      <c r="Z311" s="16"/>
      <c r="AA311" s="16"/>
      <c r="AB311" s="55"/>
      <c r="AC311"/>
      <c r="AD311"/>
      <c r="AE311"/>
      <c r="AF311"/>
      <c r="AG311"/>
      <c r="AH311"/>
      <c r="AI311"/>
      <c r="AJ311"/>
      <c r="AK311"/>
      <c r="AL311"/>
      <c r="AM311"/>
      <c r="AN311"/>
      <c r="AO311"/>
      <c r="AP311"/>
      <c r="AQ311"/>
      <c r="AS311" s="55"/>
      <c r="AT311"/>
      <c r="AU311" s="41"/>
      <c r="AV311" s="16"/>
      <c r="AW311" s="16"/>
      <c r="AX311" s="16"/>
      <c r="AY311" s="16"/>
      <c r="AZ311" s="16"/>
      <c r="BA311" s="16"/>
      <c r="BB311" s="16"/>
      <c r="BC311" s="16"/>
      <c r="BD311" s="16"/>
      <c r="BE311" s="16"/>
      <c r="BF311" s="16"/>
      <c r="BG311" s="16"/>
      <c r="BH311" s="16"/>
      <c r="BI311"/>
      <c r="BJ311"/>
      <c r="BK311"/>
      <c r="BL311"/>
      <c r="BM311"/>
      <c r="BN311"/>
      <c r="BO311"/>
      <c r="BP311"/>
      <c r="BQ311" s="55"/>
      <c r="BR311"/>
      <c r="BS311"/>
      <c r="BT311"/>
      <c r="BU311"/>
      <c r="BV311"/>
      <c r="BW311"/>
      <c r="BX311"/>
      <c r="BY311"/>
      <c r="BZ311"/>
      <c r="CA311"/>
      <c r="CB311"/>
      <c r="CC311"/>
      <c r="CD311"/>
      <c r="CE311"/>
      <c r="CF311"/>
      <c r="CH311" s="55"/>
      <c r="CI311"/>
      <c r="CJ311" s="16"/>
      <c r="CK311" s="16"/>
      <c r="CL311" s="28"/>
      <c r="CM311" s="28"/>
      <c r="CN311" s="28"/>
      <c r="CO311" s="28"/>
      <c r="CP311" s="28"/>
      <c r="CQ311" s="28"/>
      <c r="CR311" s="28"/>
      <c r="CS311" s="28"/>
      <c r="CT311" s="28"/>
      <c r="CU311" s="28"/>
      <c r="CV311" s="28"/>
      <c r="CW311" s="28"/>
      <c r="CX311" s="28"/>
      <c r="CY311" s="28"/>
      <c r="CZ311" s="28"/>
      <c r="DA311" s="28"/>
      <c r="DB311" s="28"/>
      <c r="DC311" s="28"/>
      <c r="DD311" s="28"/>
      <c r="DF311" s="55"/>
      <c r="DX311" s="28"/>
    </row>
    <row r="312" spans="1:128" s="19" customFormat="1" ht="16" customHeight="1">
      <c r="A312" s="18"/>
      <c r="B312" s="17"/>
      <c r="C312" s="16"/>
      <c r="D312" s="16"/>
      <c r="E312" s="16"/>
      <c r="F312" s="16"/>
      <c r="G312" s="16"/>
      <c r="H312" s="20"/>
      <c r="I312" s="20"/>
      <c r="J312" s="20"/>
      <c r="K312" s="20"/>
      <c r="L312" s="20"/>
      <c r="M312" s="20"/>
      <c r="N312" s="20"/>
      <c r="O312" s="20"/>
      <c r="P312" s="20"/>
      <c r="Q312" s="20"/>
      <c r="R312" s="20"/>
      <c r="S312" s="20"/>
      <c r="T312"/>
      <c r="U312"/>
      <c r="V312"/>
      <c r="W312"/>
      <c r="X312"/>
      <c r="Y312"/>
      <c r="Z312" s="16"/>
      <c r="AA312" s="16"/>
      <c r="AB312" s="55"/>
      <c r="AC312"/>
      <c r="AD312"/>
      <c r="AE312"/>
      <c r="AF312"/>
      <c r="AG312"/>
      <c r="AH312"/>
      <c r="AI312"/>
      <c r="AJ312"/>
      <c r="AK312"/>
      <c r="AL312"/>
      <c r="AM312"/>
      <c r="AN312"/>
      <c r="AO312"/>
      <c r="AP312"/>
      <c r="AQ312"/>
      <c r="AS312" s="55"/>
      <c r="AT312"/>
      <c r="AU312" s="41"/>
      <c r="AV312" s="16"/>
      <c r="AW312" s="16"/>
      <c r="AX312" s="16"/>
      <c r="AY312" s="16"/>
      <c r="AZ312" s="16"/>
      <c r="BA312" s="16"/>
      <c r="BB312" s="16"/>
      <c r="BC312" s="16"/>
      <c r="BD312" s="16"/>
      <c r="BE312" s="16"/>
      <c r="BF312" s="16"/>
      <c r="BG312" s="16"/>
      <c r="BH312" s="16"/>
      <c r="BI312"/>
      <c r="BJ312"/>
      <c r="BK312"/>
      <c r="BL312"/>
      <c r="BM312"/>
      <c r="BN312"/>
      <c r="BO312"/>
      <c r="BP312"/>
      <c r="BQ312" s="55"/>
      <c r="BR312"/>
      <c r="BS312"/>
      <c r="BT312"/>
      <c r="BU312"/>
      <c r="BV312"/>
      <c r="BW312"/>
      <c r="BX312"/>
      <c r="BY312"/>
      <c r="BZ312"/>
      <c r="CA312"/>
      <c r="CB312"/>
      <c r="CC312"/>
      <c r="CD312"/>
      <c r="CE312"/>
      <c r="CF312"/>
      <c r="CH312" s="55"/>
      <c r="CI312"/>
      <c r="CJ312" s="16"/>
      <c r="CK312" s="16"/>
      <c r="CL312" s="28"/>
      <c r="CM312" s="28"/>
      <c r="CN312" s="28"/>
      <c r="CO312" s="28"/>
      <c r="CP312" s="28"/>
      <c r="CQ312" s="28"/>
      <c r="CR312" s="28"/>
      <c r="CS312" s="28"/>
      <c r="CT312" s="28"/>
      <c r="CU312" s="28"/>
      <c r="CV312" s="28"/>
      <c r="CW312" s="28"/>
      <c r="CX312" s="28"/>
      <c r="CY312" s="28"/>
      <c r="CZ312" s="28"/>
      <c r="DA312" s="28"/>
      <c r="DB312" s="28"/>
      <c r="DC312" s="28"/>
      <c r="DD312" s="28"/>
      <c r="DF312" s="55"/>
      <c r="DX312" s="28"/>
    </row>
    <row r="313" spans="1:128" s="19" customFormat="1" ht="16" customHeight="1">
      <c r="A313" s="18"/>
      <c r="B313" s="17"/>
      <c r="C313" s="16"/>
      <c r="D313" s="16"/>
      <c r="E313" s="16"/>
      <c r="F313" s="16"/>
      <c r="G313" s="16"/>
      <c r="H313" s="20"/>
      <c r="I313" s="20"/>
      <c r="J313" s="20"/>
      <c r="K313" s="20"/>
      <c r="L313" s="20"/>
      <c r="M313" s="20"/>
      <c r="N313" s="20"/>
      <c r="O313" s="20"/>
      <c r="P313" s="20"/>
      <c r="Q313" s="20"/>
      <c r="R313" s="20"/>
      <c r="S313" s="20"/>
      <c r="T313"/>
      <c r="U313"/>
      <c r="V313"/>
      <c r="W313"/>
      <c r="X313"/>
      <c r="Y313"/>
      <c r="Z313" s="16"/>
      <c r="AA313" s="16"/>
      <c r="AB313" s="55"/>
      <c r="AC313"/>
      <c r="AD313"/>
      <c r="AE313"/>
      <c r="AF313"/>
      <c r="AG313"/>
      <c r="AH313"/>
      <c r="AI313"/>
      <c r="AJ313"/>
      <c r="AK313"/>
      <c r="AL313"/>
      <c r="AM313"/>
      <c r="AN313"/>
      <c r="AO313"/>
      <c r="AP313"/>
      <c r="AQ313"/>
      <c r="AS313" s="55"/>
      <c r="AT313"/>
      <c r="AU313" s="41"/>
      <c r="AV313" s="16"/>
      <c r="AW313" s="16"/>
      <c r="AX313" s="16"/>
      <c r="AY313" s="16"/>
      <c r="AZ313" s="16"/>
      <c r="BA313" s="16"/>
      <c r="BB313" s="16"/>
      <c r="BC313" s="16"/>
      <c r="BD313" s="16"/>
      <c r="BE313" s="16"/>
      <c r="BF313" s="16"/>
      <c r="BG313" s="16"/>
      <c r="BH313" s="16"/>
      <c r="BI313"/>
      <c r="BJ313"/>
      <c r="BK313"/>
      <c r="BL313"/>
      <c r="BM313"/>
      <c r="BN313"/>
      <c r="BO313"/>
      <c r="BP313"/>
      <c r="BQ313" s="55"/>
      <c r="BR313"/>
      <c r="BS313"/>
      <c r="BT313"/>
      <c r="BU313"/>
      <c r="BV313"/>
      <c r="BW313"/>
      <c r="BX313"/>
      <c r="BY313"/>
      <c r="BZ313"/>
      <c r="CA313"/>
      <c r="CB313"/>
      <c r="CC313"/>
      <c r="CD313"/>
      <c r="CE313"/>
      <c r="CF313"/>
      <c r="CH313" s="55"/>
      <c r="CI313"/>
      <c r="CJ313" s="16"/>
      <c r="CK313" s="16"/>
      <c r="CL313" s="28"/>
      <c r="CM313" s="28"/>
      <c r="CN313" s="28"/>
      <c r="CO313" s="28"/>
      <c r="CP313" s="28"/>
      <c r="CQ313" s="28"/>
      <c r="CR313" s="28"/>
      <c r="CS313" s="28"/>
      <c r="CT313" s="28"/>
      <c r="CU313" s="28"/>
      <c r="CV313" s="28"/>
      <c r="CW313" s="28"/>
      <c r="CX313" s="28"/>
      <c r="CY313" s="28"/>
      <c r="CZ313" s="28"/>
      <c r="DA313" s="28"/>
      <c r="DB313" s="28"/>
      <c r="DC313" s="28"/>
      <c r="DD313" s="28"/>
      <c r="DF313" s="55"/>
      <c r="DX313" s="28"/>
    </row>
    <row r="314" spans="1:128" s="19" customFormat="1" ht="16" customHeight="1">
      <c r="A314" s="18"/>
      <c r="B314" s="17"/>
      <c r="C314" s="16"/>
      <c r="D314" s="16"/>
      <c r="E314" s="16"/>
      <c r="F314" s="16"/>
      <c r="G314" s="16"/>
      <c r="H314" s="20"/>
      <c r="I314" s="20"/>
      <c r="J314" s="20"/>
      <c r="K314" s="20"/>
      <c r="L314" s="20"/>
      <c r="M314" s="20"/>
      <c r="N314" s="20"/>
      <c r="O314" s="20"/>
      <c r="P314" s="20"/>
      <c r="Q314" s="20"/>
      <c r="R314" s="20"/>
      <c r="S314" s="20"/>
      <c r="T314"/>
      <c r="U314"/>
      <c r="V314"/>
      <c r="W314"/>
      <c r="X314"/>
      <c r="Y314"/>
      <c r="Z314" s="16"/>
      <c r="AA314" s="16"/>
      <c r="AB314" s="55"/>
      <c r="AC314"/>
      <c r="AD314"/>
      <c r="AE314"/>
      <c r="AF314"/>
      <c r="AG314"/>
      <c r="AH314"/>
      <c r="AI314"/>
      <c r="AJ314"/>
      <c r="AK314"/>
      <c r="AL314"/>
      <c r="AM314"/>
      <c r="AN314"/>
      <c r="AO314"/>
      <c r="AP314"/>
      <c r="AQ314"/>
      <c r="AS314" s="55"/>
      <c r="AT314"/>
      <c r="AU314" s="41"/>
      <c r="AV314" s="16"/>
      <c r="AW314" s="16"/>
      <c r="AX314" s="16"/>
      <c r="AY314" s="16"/>
      <c r="AZ314" s="16"/>
      <c r="BA314" s="16"/>
      <c r="BB314" s="16"/>
      <c r="BC314" s="16"/>
      <c r="BD314" s="16"/>
      <c r="BE314" s="16"/>
      <c r="BF314" s="16"/>
      <c r="BG314" s="16"/>
      <c r="BH314" s="16"/>
      <c r="BI314"/>
      <c r="BJ314"/>
      <c r="BK314"/>
      <c r="BL314"/>
      <c r="BM314"/>
      <c r="BN314"/>
      <c r="BO314"/>
      <c r="BP314"/>
      <c r="BQ314" s="55"/>
      <c r="BR314"/>
      <c r="BS314"/>
      <c r="BT314"/>
      <c r="BU314"/>
      <c r="BV314"/>
      <c r="BW314"/>
      <c r="BX314"/>
      <c r="BY314"/>
      <c r="BZ314"/>
      <c r="CA314"/>
      <c r="CB314"/>
      <c r="CC314"/>
      <c r="CD314"/>
      <c r="CE314"/>
      <c r="CF314"/>
      <c r="CH314" s="55"/>
      <c r="CI314"/>
      <c r="CJ314" s="16"/>
      <c r="CK314" s="16"/>
      <c r="CL314" s="28"/>
      <c r="CM314" s="28"/>
      <c r="CN314" s="28"/>
      <c r="CO314" s="28"/>
      <c r="CP314" s="28"/>
      <c r="CQ314" s="28"/>
      <c r="CR314" s="28"/>
      <c r="CS314" s="28"/>
      <c r="CT314" s="28"/>
      <c r="CU314" s="28"/>
      <c r="CV314" s="28"/>
      <c r="CW314" s="28"/>
      <c r="CX314" s="28"/>
      <c r="CY314" s="28"/>
      <c r="CZ314" s="28"/>
      <c r="DA314" s="28"/>
      <c r="DB314" s="28"/>
      <c r="DC314" s="28"/>
      <c r="DD314" s="28"/>
      <c r="DF314" s="55"/>
      <c r="DX314" s="28"/>
    </row>
    <row r="315" spans="1:128" s="19" customFormat="1" ht="16" customHeight="1">
      <c r="A315" s="18"/>
      <c r="B315" s="17"/>
      <c r="C315" s="16"/>
      <c r="D315" s="16"/>
      <c r="E315" s="16"/>
      <c r="F315" s="16"/>
      <c r="G315" s="16"/>
      <c r="H315" s="20"/>
      <c r="I315" s="20"/>
      <c r="J315" s="20"/>
      <c r="K315" s="20"/>
      <c r="L315" s="20"/>
      <c r="M315" s="20"/>
      <c r="N315" s="20"/>
      <c r="O315" s="20"/>
      <c r="P315" s="20"/>
      <c r="Q315" s="20"/>
      <c r="R315" s="20"/>
      <c r="S315" s="20"/>
      <c r="T315"/>
      <c r="U315"/>
      <c r="V315"/>
      <c r="W315"/>
      <c r="X315"/>
      <c r="Y315"/>
      <c r="Z315" s="16"/>
      <c r="AA315" s="16"/>
      <c r="AB315" s="55"/>
      <c r="AC315"/>
      <c r="AD315"/>
      <c r="AE315"/>
      <c r="AF315"/>
      <c r="AG315"/>
      <c r="AH315"/>
      <c r="AI315"/>
      <c r="AJ315"/>
      <c r="AK315"/>
      <c r="AL315"/>
      <c r="AM315"/>
      <c r="AN315"/>
      <c r="AO315"/>
      <c r="AP315"/>
      <c r="AQ315"/>
      <c r="AS315" s="55"/>
      <c r="AT315"/>
      <c r="AU315" s="41"/>
      <c r="AV315" s="16"/>
      <c r="AW315" s="16"/>
      <c r="AX315" s="16"/>
      <c r="AY315" s="16"/>
      <c r="AZ315" s="16"/>
      <c r="BA315" s="16"/>
      <c r="BB315" s="16"/>
      <c r="BC315" s="16"/>
      <c r="BD315" s="16"/>
      <c r="BE315" s="16"/>
      <c r="BF315" s="16"/>
      <c r="BG315" s="16"/>
      <c r="BH315" s="16"/>
      <c r="BI315"/>
      <c r="BJ315"/>
      <c r="BK315"/>
      <c r="BL315"/>
      <c r="BM315"/>
      <c r="BN315"/>
      <c r="BO315"/>
      <c r="BP315"/>
      <c r="BQ315" s="55"/>
      <c r="BR315"/>
      <c r="BS315"/>
      <c r="BT315"/>
      <c r="BU315"/>
      <c r="BV315"/>
      <c r="BW315"/>
      <c r="BX315"/>
      <c r="BY315"/>
      <c r="BZ315"/>
      <c r="CA315"/>
      <c r="CB315"/>
      <c r="CC315"/>
      <c r="CD315"/>
      <c r="CE315"/>
      <c r="CF315"/>
      <c r="CH315" s="55"/>
      <c r="CI315"/>
      <c r="CJ315" s="16"/>
      <c r="CK315" s="16"/>
      <c r="CL315" s="28"/>
      <c r="CM315" s="28"/>
      <c r="CN315" s="28"/>
      <c r="CO315" s="28"/>
      <c r="CP315" s="28"/>
      <c r="CQ315" s="28"/>
      <c r="CR315" s="28"/>
      <c r="CS315" s="28"/>
      <c r="CT315" s="28"/>
      <c r="CU315" s="28"/>
      <c r="CV315" s="28"/>
      <c r="CW315" s="28"/>
      <c r="CX315" s="28"/>
      <c r="CY315" s="28"/>
      <c r="CZ315" s="28"/>
      <c r="DA315" s="28"/>
      <c r="DB315" s="28"/>
      <c r="DC315" s="28"/>
      <c r="DD315" s="28"/>
      <c r="DF315" s="55"/>
      <c r="DX315" s="28"/>
    </row>
    <row r="316" spans="1:128" s="19" customFormat="1" ht="16" customHeight="1">
      <c r="A316" s="18"/>
      <c r="B316" s="17"/>
      <c r="C316" s="16"/>
      <c r="D316" s="16"/>
      <c r="E316" s="16"/>
      <c r="F316" s="16"/>
      <c r="G316" s="16"/>
      <c r="H316" s="20"/>
      <c r="I316" s="20"/>
      <c r="J316" s="20"/>
      <c r="K316" s="20"/>
      <c r="L316" s="20"/>
      <c r="M316" s="20"/>
      <c r="N316" s="20"/>
      <c r="O316" s="20"/>
      <c r="P316" s="20"/>
      <c r="Q316" s="20"/>
      <c r="R316" s="20"/>
      <c r="S316" s="20"/>
      <c r="T316"/>
      <c r="U316"/>
      <c r="V316"/>
      <c r="W316"/>
      <c r="X316"/>
      <c r="Y316"/>
      <c r="Z316" s="16"/>
      <c r="AA316" s="16"/>
      <c r="AB316" s="55"/>
      <c r="AC316"/>
      <c r="AD316"/>
      <c r="AE316"/>
      <c r="AF316"/>
      <c r="AG316"/>
      <c r="AH316"/>
      <c r="AI316"/>
      <c r="AJ316"/>
      <c r="AK316"/>
      <c r="AL316"/>
      <c r="AM316"/>
      <c r="AN316"/>
      <c r="AO316"/>
      <c r="AP316"/>
      <c r="AQ316"/>
      <c r="AS316" s="55"/>
      <c r="AT316"/>
      <c r="AU316" s="41"/>
      <c r="AV316" s="16"/>
      <c r="AW316" s="16"/>
      <c r="AX316" s="16"/>
      <c r="AY316" s="16"/>
      <c r="AZ316" s="16"/>
      <c r="BA316" s="16"/>
      <c r="BB316" s="16"/>
      <c r="BC316" s="16"/>
      <c r="BD316" s="16"/>
      <c r="BE316" s="16"/>
      <c r="BF316" s="16"/>
      <c r="BG316" s="16"/>
      <c r="BH316" s="16"/>
      <c r="BI316"/>
      <c r="BJ316"/>
      <c r="BK316"/>
      <c r="BL316"/>
      <c r="BM316"/>
      <c r="BN316"/>
      <c r="BO316"/>
      <c r="BP316"/>
      <c r="BQ316" s="55"/>
      <c r="BR316"/>
      <c r="BS316"/>
      <c r="BT316"/>
      <c r="BU316"/>
      <c r="BV316"/>
      <c r="BW316"/>
      <c r="BX316"/>
      <c r="BY316"/>
      <c r="BZ316"/>
      <c r="CA316"/>
      <c r="CB316"/>
      <c r="CC316"/>
      <c r="CD316"/>
      <c r="CE316"/>
      <c r="CF316"/>
      <c r="CH316" s="55"/>
      <c r="CI316"/>
      <c r="CJ316" s="16"/>
      <c r="CK316" s="16"/>
      <c r="CL316" s="28"/>
      <c r="CM316" s="28"/>
      <c r="CN316" s="28"/>
      <c r="CO316" s="28"/>
      <c r="CP316" s="28"/>
      <c r="CQ316" s="28"/>
      <c r="CR316" s="28"/>
      <c r="CS316" s="28"/>
      <c r="CT316" s="28"/>
      <c r="CU316" s="28"/>
      <c r="CV316" s="28"/>
      <c r="CW316" s="28"/>
      <c r="CX316" s="28"/>
      <c r="CY316" s="28"/>
      <c r="CZ316" s="28"/>
      <c r="DA316" s="28"/>
      <c r="DB316" s="28"/>
      <c r="DC316" s="28"/>
      <c r="DD316" s="28"/>
      <c r="DF316" s="55"/>
      <c r="DX316" s="28"/>
    </row>
    <row r="317" spans="1:128" s="19" customFormat="1" ht="16" customHeight="1">
      <c r="A317" s="18"/>
      <c r="B317" s="17"/>
      <c r="C317" s="16"/>
      <c r="D317" s="16"/>
      <c r="E317" s="16"/>
      <c r="F317" s="16"/>
      <c r="G317" s="16"/>
      <c r="H317" s="20"/>
      <c r="I317" s="20"/>
      <c r="J317" s="20"/>
      <c r="K317" s="20"/>
      <c r="L317" s="20"/>
      <c r="M317" s="20"/>
      <c r="N317" s="20"/>
      <c r="O317" s="20"/>
      <c r="P317" s="20"/>
      <c r="Q317" s="20"/>
      <c r="R317" s="20"/>
      <c r="S317" s="20"/>
      <c r="T317"/>
      <c r="U317"/>
      <c r="V317"/>
      <c r="W317"/>
      <c r="X317"/>
      <c r="Y317"/>
      <c r="Z317" s="16"/>
      <c r="AA317" s="16"/>
      <c r="AB317" s="55"/>
      <c r="AC317"/>
      <c r="AD317"/>
      <c r="AE317"/>
      <c r="AF317"/>
      <c r="AG317"/>
      <c r="AH317"/>
      <c r="AI317"/>
      <c r="AJ317"/>
      <c r="AK317"/>
      <c r="AL317"/>
      <c r="AM317"/>
      <c r="AN317"/>
      <c r="AO317"/>
      <c r="AP317"/>
      <c r="AQ317"/>
      <c r="AS317" s="55"/>
      <c r="AT317"/>
      <c r="AU317" s="41"/>
      <c r="AV317" s="16"/>
      <c r="AW317" s="16"/>
      <c r="AX317" s="16"/>
      <c r="AY317" s="16"/>
      <c r="AZ317" s="16"/>
      <c r="BA317" s="16"/>
      <c r="BB317" s="16"/>
      <c r="BC317" s="16"/>
      <c r="BD317" s="16"/>
      <c r="BE317" s="16"/>
      <c r="BF317" s="16"/>
      <c r="BG317" s="16"/>
      <c r="BH317" s="16"/>
      <c r="BI317"/>
      <c r="BJ317"/>
      <c r="BK317"/>
      <c r="BL317"/>
      <c r="BM317"/>
      <c r="BN317"/>
      <c r="BO317"/>
      <c r="BP317"/>
      <c r="BQ317" s="55"/>
      <c r="BR317"/>
      <c r="BS317"/>
      <c r="BT317"/>
      <c r="BU317"/>
      <c r="BV317"/>
      <c r="BW317"/>
      <c r="BX317"/>
      <c r="BY317"/>
      <c r="BZ317"/>
      <c r="CA317"/>
      <c r="CB317"/>
      <c r="CC317"/>
      <c r="CD317"/>
      <c r="CE317"/>
      <c r="CF317"/>
      <c r="CH317" s="55"/>
      <c r="CI317"/>
      <c r="CJ317" s="16"/>
      <c r="CK317" s="16"/>
      <c r="CL317" s="28"/>
      <c r="CM317" s="28"/>
      <c r="CN317" s="28"/>
      <c r="CO317" s="28"/>
      <c r="CP317" s="28"/>
      <c r="CQ317" s="28"/>
      <c r="CR317" s="28"/>
      <c r="CS317" s="28"/>
      <c r="CT317" s="28"/>
      <c r="CU317" s="28"/>
      <c r="CV317" s="28"/>
      <c r="CW317" s="28"/>
      <c r="CX317" s="28"/>
      <c r="CY317" s="28"/>
      <c r="CZ317" s="28"/>
      <c r="DA317" s="28"/>
      <c r="DB317" s="28"/>
      <c r="DC317" s="28"/>
      <c r="DD317" s="28"/>
      <c r="DF317" s="55"/>
      <c r="DX317" s="28"/>
    </row>
    <row r="318" spans="1:128" s="19" customFormat="1" ht="16" customHeight="1">
      <c r="A318" s="18"/>
      <c r="B318" s="17"/>
      <c r="C318" s="16"/>
      <c r="D318" s="16"/>
      <c r="E318" s="16"/>
      <c r="F318" s="16"/>
      <c r="G318" s="16"/>
      <c r="H318" s="20"/>
      <c r="I318" s="20"/>
      <c r="J318" s="20"/>
      <c r="K318" s="20"/>
      <c r="L318" s="20"/>
      <c r="M318" s="20"/>
      <c r="N318" s="20"/>
      <c r="O318" s="20"/>
      <c r="P318" s="20"/>
      <c r="Q318" s="20"/>
      <c r="R318" s="20"/>
      <c r="S318" s="20"/>
      <c r="T318"/>
      <c r="U318"/>
      <c r="V318"/>
      <c r="W318"/>
      <c r="X318"/>
      <c r="Y318"/>
      <c r="Z318" s="16"/>
      <c r="AA318" s="16"/>
      <c r="AB318" s="55"/>
      <c r="AC318"/>
      <c r="AD318"/>
      <c r="AE318"/>
      <c r="AF318"/>
      <c r="AG318"/>
      <c r="AH318"/>
      <c r="AI318"/>
      <c r="AJ318"/>
      <c r="AK318"/>
      <c r="AL318"/>
      <c r="AM318"/>
      <c r="AN318"/>
      <c r="AO318"/>
      <c r="AP318"/>
      <c r="AQ318"/>
      <c r="AS318" s="55"/>
      <c r="AT318"/>
      <c r="AU318" s="41"/>
      <c r="AV318" s="16"/>
      <c r="AW318" s="16"/>
      <c r="AX318" s="16"/>
      <c r="AY318" s="16"/>
      <c r="AZ318" s="16"/>
      <c r="BA318" s="16"/>
      <c r="BB318" s="16"/>
      <c r="BC318" s="16"/>
      <c r="BD318" s="16"/>
      <c r="BE318" s="16"/>
      <c r="BF318" s="16"/>
      <c r="BG318" s="16"/>
      <c r="BH318" s="16"/>
      <c r="BI318"/>
      <c r="BJ318"/>
      <c r="BK318"/>
      <c r="BL318"/>
      <c r="BM318"/>
      <c r="BN318"/>
      <c r="BO318"/>
      <c r="BP318"/>
      <c r="BQ318" s="55"/>
      <c r="BR318"/>
      <c r="BS318"/>
      <c r="BT318"/>
      <c r="BU318"/>
      <c r="BV318"/>
      <c r="BW318"/>
      <c r="BX318"/>
      <c r="BY318"/>
      <c r="BZ318"/>
      <c r="CA318"/>
      <c r="CB318"/>
      <c r="CC318"/>
      <c r="CD318"/>
      <c r="CE318"/>
      <c r="CF318"/>
      <c r="CH318" s="55"/>
      <c r="CI318"/>
      <c r="CJ318" s="16"/>
      <c r="CK318" s="16"/>
      <c r="CL318" s="28"/>
      <c r="CM318" s="28"/>
      <c r="CN318" s="28"/>
      <c r="CO318" s="28"/>
      <c r="CP318" s="28"/>
      <c r="CQ318" s="28"/>
      <c r="CR318" s="28"/>
      <c r="CS318" s="28"/>
      <c r="CT318" s="28"/>
      <c r="CU318" s="28"/>
      <c r="CV318" s="28"/>
      <c r="CW318" s="28"/>
      <c r="CX318" s="28"/>
      <c r="CY318" s="28"/>
      <c r="CZ318" s="28"/>
      <c r="DA318" s="28"/>
      <c r="DB318" s="28"/>
      <c r="DC318" s="28"/>
      <c r="DD318" s="28"/>
      <c r="DF318" s="55"/>
      <c r="DX318" s="28"/>
    </row>
    <row r="319" spans="1:128" s="19" customFormat="1" ht="16" customHeight="1">
      <c r="A319" s="18"/>
      <c r="B319" s="17"/>
      <c r="C319" s="16"/>
      <c r="D319" s="16"/>
      <c r="E319" s="16"/>
      <c r="F319" s="16"/>
      <c r="G319" s="16"/>
      <c r="H319" s="20"/>
      <c r="I319" s="20"/>
      <c r="J319" s="20"/>
      <c r="K319" s="20"/>
      <c r="L319" s="20"/>
      <c r="M319" s="20"/>
      <c r="N319" s="20"/>
      <c r="O319" s="20"/>
      <c r="P319" s="20"/>
      <c r="Q319" s="20"/>
      <c r="R319" s="20"/>
      <c r="S319" s="20"/>
      <c r="T319"/>
      <c r="U319"/>
      <c r="V319"/>
      <c r="W319"/>
      <c r="X319"/>
      <c r="Y319"/>
      <c r="Z319" s="16"/>
      <c r="AA319" s="16"/>
      <c r="AB319" s="55"/>
      <c r="AC319"/>
      <c r="AD319"/>
      <c r="AE319"/>
      <c r="AF319"/>
      <c r="AG319"/>
      <c r="AH319"/>
      <c r="AI319"/>
      <c r="AJ319"/>
      <c r="AK319"/>
      <c r="AL319"/>
      <c r="AM319"/>
      <c r="AN319"/>
      <c r="AO319"/>
      <c r="AP319"/>
      <c r="AQ319"/>
      <c r="AS319" s="55"/>
      <c r="AT319"/>
      <c r="AU319" s="41"/>
      <c r="AV319" s="16"/>
      <c r="AW319" s="16"/>
      <c r="AX319" s="16"/>
      <c r="AY319" s="16"/>
      <c r="AZ319" s="16"/>
      <c r="BA319" s="16"/>
      <c r="BB319" s="16"/>
      <c r="BC319" s="16"/>
      <c r="BD319" s="16"/>
      <c r="BE319" s="16"/>
      <c r="BF319" s="16"/>
      <c r="BG319" s="16"/>
      <c r="BH319" s="16"/>
      <c r="BI319"/>
      <c r="BJ319"/>
      <c r="BK319"/>
      <c r="BL319"/>
      <c r="BM319"/>
      <c r="BN319"/>
      <c r="BO319"/>
      <c r="BP319"/>
      <c r="BQ319" s="55"/>
      <c r="BR319"/>
      <c r="BS319"/>
      <c r="BT319"/>
      <c r="BU319"/>
      <c r="BV319"/>
      <c r="BW319"/>
      <c r="BX319"/>
      <c r="BY319"/>
      <c r="BZ319"/>
      <c r="CA319"/>
      <c r="CB319"/>
      <c r="CC319"/>
      <c r="CD319"/>
      <c r="CE319"/>
      <c r="CF319"/>
      <c r="CH319" s="55"/>
      <c r="CI319"/>
      <c r="CJ319" s="16"/>
      <c r="CK319" s="16"/>
      <c r="CL319" s="28"/>
      <c r="CM319" s="28"/>
      <c r="CN319" s="28"/>
      <c r="CO319" s="28"/>
      <c r="CP319" s="28"/>
      <c r="CQ319" s="28"/>
      <c r="CR319" s="28"/>
      <c r="CS319" s="28"/>
      <c r="CT319" s="28"/>
      <c r="CU319" s="28"/>
      <c r="CV319" s="28"/>
      <c r="CW319" s="28"/>
      <c r="CX319" s="28"/>
      <c r="CY319" s="28"/>
      <c r="CZ319" s="28"/>
      <c r="DA319" s="28"/>
      <c r="DB319" s="28"/>
      <c r="DC319" s="28"/>
      <c r="DD319" s="28"/>
      <c r="DF319" s="55"/>
      <c r="DX319" s="28"/>
    </row>
    <row r="320" spans="1:128" s="19" customFormat="1" ht="16" customHeight="1">
      <c r="A320" s="18"/>
      <c r="B320" s="17"/>
      <c r="C320" s="16"/>
      <c r="D320" s="16"/>
      <c r="E320" s="16"/>
      <c r="F320" s="16"/>
      <c r="G320" s="16"/>
      <c r="H320" s="20"/>
      <c r="I320" s="20"/>
      <c r="J320" s="20"/>
      <c r="K320" s="20"/>
      <c r="L320" s="20"/>
      <c r="M320" s="20"/>
      <c r="N320" s="20"/>
      <c r="O320" s="20"/>
      <c r="P320" s="20"/>
      <c r="Q320" s="20"/>
      <c r="R320" s="20"/>
      <c r="S320" s="20"/>
      <c r="T320"/>
      <c r="U320"/>
      <c r="V320"/>
      <c r="W320"/>
      <c r="X320"/>
      <c r="Y320"/>
      <c r="Z320" s="16"/>
      <c r="AA320" s="16"/>
      <c r="AB320" s="55"/>
      <c r="AC320"/>
      <c r="AD320"/>
      <c r="AE320"/>
      <c r="AF320"/>
      <c r="AG320"/>
      <c r="AH320"/>
      <c r="AI320"/>
      <c r="AJ320"/>
      <c r="AK320"/>
      <c r="AL320"/>
      <c r="AM320"/>
      <c r="AN320"/>
      <c r="AO320"/>
      <c r="AP320"/>
      <c r="AQ320"/>
      <c r="AS320" s="55"/>
      <c r="AT320"/>
      <c r="AU320" s="41"/>
      <c r="AV320" s="16"/>
      <c r="AW320" s="16"/>
      <c r="AX320" s="16"/>
      <c r="AY320" s="16"/>
      <c r="AZ320" s="16"/>
      <c r="BA320" s="16"/>
      <c r="BB320" s="16"/>
      <c r="BC320" s="16"/>
      <c r="BD320" s="16"/>
      <c r="BE320" s="16"/>
      <c r="BF320" s="16"/>
      <c r="BG320" s="16"/>
      <c r="BH320" s="16"/>
      <c r="BI320"/>
      <c r="BJ320"/>
      <c r="BK320"/>
      <c r="BL320"/>
      <c r="BM320"/>
      <c r="BN320"/>
      <c r="BO320"/>
      <c r="BP320"/>
      <c r="BQ320" s="55"/>
      <c r="BR320"/>
      <c r="BS320"/>
      <c r="BT320"/>
      <c r="BU320"/>
      <c r="BV320"/>
      <c r="BW320"/>
      <c r="BX320"/>
      <c r="BY320"/>
      <c r="BZ320"/>
      <c r="CA320"/>
      <c r="CB320"/>
      <c r="CC320"/>
      <c r="CD320"/>
      <c r="CE320"/>
      <c r="CF320"/>
      <c r="CH320" s="55"/>
      <c r="CI320"/>
      <c r="CJ320" s="16"/>
      <c r="CK320" s="16"/>
      <c r="CL320" s="28"/>
      <c r="CM320" s="28"/>
      <c r="CN320" s="28"/>
      <c r="CO320" s="28"/>
      <c r="CP320" s="28"/>
      <c r="CQ320" s="28"/>
      <c r="CR320" s="28"/>
      <c r="CS320" s="28"/>
      <c r="CT320" s="28"/>
      <c r="CU320" s="28"/>
      <c r="CV320" s="28"/>
      <c r="CW320" s="28"/>
      <c r="CX320" s="28"/>
      <c r="CY320" s="28"/>
      <c r="CZ320" s="28"/>
      <c r="DA320" s="28"/>
      <c r="DB320" s="28"/>
      <c r="DC320" s="28"/>
      <c r="DD320" s="28"/>
      <c r="DF320" s="55"/>
      <c r="DX320" s="28"/>
    </row>
    <row r="321" spans="1:128" s="19" customFormat="1" ht="16" customHeight="1">
      <c r="A321" s="18"/>
      <c r="B321" s="17"/>
      <c r="C321" s="16"/>
      <c r="D321" s="16"/>
      <c r="E321" s="16"/>
      <c r="F321" s="16"/>
      <c r="G321" s="16"/>
      <c r="H321" s="20"/>
      <c r="I321" s="20"/>
      <c r="J321" s="20"/>
      <c r="K321" s="20"/>
      <c r="L321" s="20"/>
      <c r="M321" s="20"/>
      <c r="N321" s="20"/>
      <c r="O321" s="20"/>
      <c r="P321" s="20"/>
      <c r="Q321" s="20"/>
      <c r="R321" s="20"/>
      <c r="S321" s="20"/>
      <c r="T321"/>
      <c r="U321"/>
      <c r="V321"/>
      <c r="W321"/>
      <c r="X321"/>
      <c r="Y321"/>
      <c r="Z321" s="16"/>
      <c r="AA321" s="16"/>
      <c r="AB321" s="55"/>
      <c r="AC321"/>
      <c r="AD321"/>
      <c r="AE321"/>
      <c r="AF321"/>
      <c r="AG321"/>
      <c r="AH321"/>
      <c r="AI321"/>
      <c r="AJ321"/>
      <c r="AK321"/>
      <c r="AL321"/>
      <c r="AM321"/>
      <c r="AN321"/>
      <c r="AO321"/>
      <c r="AP321"/>
      <c r="AQ321"/>
      <c r="AS321" s="55"/>
      <c r="AT321"/>
      <c r="AU321" s="41"/>
      <c r="AV321" s="16"/>
      <c r="AW321" s="16"/>
      <c r="AX321" s="16"/>
      <c r="AY321" s="16"/>
      <c r="AZ321" s="16"/>
      <c r="BA321" s="16"/>
      <c r="BB321" s="16"/>
      <c r="BC321" s="16"/>
      <c r="BD321" s="16"/>
      <c r="BE321" s="16"/>
      <c r="BF321" s="16"/>
      <c r="BG321" s="16"/>
      <c r="BH321" s="16"/>
      <c r="BI321"/>
      <c r="BJ321"/>
      <c r="BK321"/>
      <c r="BL321"/>
      <c r="BM321"/>
      <c r="BN321"/>
      <c r="BO321"/>
      <c r="BP321"/>
      <c r="BQ321" s="55"/>
      <c r="BR321"/>
      <c r="BS321"/>
      <c r="BT321"/>
      <c r="BU321"/>
      <c r="BV321"/>
      <c r="BW321"/>
      <c r="BX321"/>
      <c r="BY321"/>
      <c r="BZ321"/>
      <c r="CA321"/>
      <c r="CB321"/>
      <c r="CC321"/>
      <c r="CD321"/>
      <c r="CE321"/>
      <c r="CF321"/>
      <c r="CH321" s="55"/>
      <c r="CI321"/>
      <c r="CJ321" s="16"/>
      <c r="CK321" s="16"/>
      <c r="CL321" s="28"/>
      <c r="CM321" s="28"/>
      <c r="CN321" s="28"/>
      <c r="CO321" s="28"/>
      <c r="CP321" s="28"/>
      <c r="CQ321" s="28"/>
      <c r="CR321" s="28"/>
      <c r="CS321" s="28"/>
      <c r="CT321" s="28"/>
      <c r="CU321" s="28"/>
      <c r="CV321" s="28"/>
      <c r="CW321" s="28"/>
      <c r="CX321" s="28"/>
      <c r="CY321" s="28"/>
      <c r="CZ321" s="28"/>
      <c r="DA321" s="28"/>
      <c r="DB321" s="28"/>
      <c r="DC321" s="28"/>
      <c r="DD321" s="28"/>
      <c r="DF321" s="55"/>
      <c r="DX321" s="28"/>
    </row>
    <row r="322" spans="1:128" s="19" customFormat="1" ht="16" customHeight="1">
      <c r="A322" s="18"/>
      <c r="B322" s="17"/>
      <c r="C322" s="16"/>
      <c r="D322" s="16"/>
      <c r="E322" s="16"/>
      <c r="F322" s="16"/>
      <c r="G322" s="16"/>
      <c r="H322" s="20"/>
      <c r="I322" s="20"/>
      <c r="J322" s="20"/>
      <c r="K322" s="20"/>
      <c r="L322" s="20"/>
      <c r="M322" s="20"/>
      <c r="N322" s="20"/>
      <c r="O322" s="20"/>
      <c r="P322" s="20"/>
      <c r="Q322" s="20"/>
      <c r="R322" s="20"/>
      <c r="S322" s="20"/>
      <c r="T322"/>
      <c r="U322"/>
      <c r="V322"/>
      <c r="W322"/>
      <c r="X322"/>
      <c r="Y322"/>
      <c r="Z322" s="16"/>
      <c r="AA322" s="16"/>
      <c r="AB322" s="55"/>
      <c r="AC322"/>
      <c r="AD322"/>
      <c r="AE322"/>
      <c r="AF322"/>
      <c r="AG322"/>
      <c r="AH322"/>
      <c r="AI322"/>
      <c r="AJ322"/>
      <c r="AK322"/>
      <c r="AL322"/>
      <c r="AM322"/>
      <c r="AN322"/>
      <c r="AO322"/>
      <c r="AP322"/>
      <c r="AQ322"/>
      <c r="AS322" s="55"/>
      <c r="AT322"/>
      <c r="AU322" s="41"/>
      <c r="AV322" s="16"/>
      <c r="AW322" s="16"/>
      <c r="AX322" s="16"/>
      <c r="AY322" s="16"/>
      <c r="AZ322" s="16"/>
      <c r="BA322" s="16"/>
      <c r="BB322" s="16"/>
      <c r="BC322" s="16"/>
      <c r="BD322" s="16"/>
      <c r="BE322" s="16"/>
      <c r="BF322" s="16"/>
      <c r="BG322" s="16"/>
      <c r="BH322" s="16"/>
      <c r="BI322"/>
      <c r="BJ322"/>
      <c r="BK322"/>
      <c r="BL322"/>
      <c r="BM322"/>
      <c r="BN322"/>
      <c r="BO322"/>
      <c r="BP322"/>
      <c r="BQ322" s="55"/>
      <c r="BR322"/>
      <c r="BS322"/>
      <c r="BT322"/>
      <c r="BU322"/>
      <c r="BV322"/>
      <c r="BW322"/>
      <c r="BX322"/>
      <c r="BY322"/>
      <c r="BZ322"/>
      <c r="CA322"/>
      <c r="CB322"/>
      <c r="CC322"/>
      <c r="CD322"/>
      <c r="CE322"/>
      <c r="CF322"/>
      <c r="CH322" s="55"/>
      <c r="CI322"/>
      <c r="CJ322" s="16"/>
      <c r="CK322" s="16"/>
      <c r="CL322" s="28"/>
      <c r="CM322" s="28"/>
      <c r="CN322" s="28"/>
      <c r="CO322" s="28"/>
      <c r="CP322" s="28"/>
      <c r="CQ322" s="28"/>
      <c r="CR322" s="28"/>
      <c r="CS322" s="28"/>
      <c r="CT322" s="28"/>
      <c r="CU322" s="28"/>
      <c r="CV322" s="28"/>
      <c r="CW322" s="28"/>
      <c r="CX322" s="28"/>
      <c r="CY322" s="28"/>
      <c r="CZ322" s="28"/>
      <c r="DA322" s="28"/>
      <c r="DB322" s="28"/>
      <c r="DC322" s="28"/>
      <c r="DD322" s="28"/>
      <c r="DF322" s="55"/>
      <c r="DX322" s="28"/>
    </row>
    <row r="323" spans="1:128" s="19" customFormat="1" ht="16" customHeight="1">
      <c r="A323" s="18"/>
      <c r="B323" s="17"/>
      <c r="C323" s="16"/>
      <c r="D323" s="16"/>
      <c r="E323" s="16"/>
      <c r="F323" s="16"/>
      <c r="G323" s="16"/>
      <c r="H323" s="20"/>
      <c r="I323" s="20"/>
      <c r="J323" s="20"/>
      <c r="K323" s="20"/>
      <c r="L323" s="20"/>
      <c r="M323" s="20"/>
      <c r="N323" s="20"/>
      <c r="O323" s="20"/>
      <c r="P323" s="20"/>
      <c r="Q323" s="20"/>
      <c r="R323" s="20"/>
      <c r="S323" s="20"/>
      <c r="T323"/>
      <c r="U323"/>
      <c r="V323"/>
      <c r="W323"/>
      <c r="X323"/>
      <c r="Y323"/>
      <c r="Z323" s="16"/>
      <c r="AA323" s="16"/>
      <c r="AB323" s="55"/>
      <c r="AC323"/>
      <c r="AD323"/>
      <c r="AE323"/>
      <c r="AF323"/>
      <c r="AG323"/>
      <c r="AH323"/>
      <c r="AI323"/>
      <c r="AJ323"/>
      <c r="AK323"/>
      <c r="AL323"/>
      <c r="AM323"/>
      <c r="AN323"/>
      <c r="AO323"/>
      <c r="AP323"/>
      <c r="AQ323"/>
      <c r="AS323" s="55"/>
      <c r="AT323"/>
      <c r="AU323" s="41"/>
      <c r="AV323" s="16"/>
      <c r="AW323" s="16"/>
      <c r="AX323" s="16"/>
      <c r="AY323" s="16"/>
      <c r="AZ323" s="16"/>
      <c r="BA323" s="16"/>
      <c r="BB323" s="16"/>
      <c r="BC323" s="16"/>
      <c r="BD323" s="16"/>
      <c r="BE323" s="16"/>
      <c r="BF323" s="16"/>
      <c r="BG323" s="16"/>
      <c r="BH323" s="16"/>
      <c r="BI323"/>
      <c r="BJ323"/>
      <c r="BK323"/>
      <c r="BL323"/>
      <c r="BM323"/>
      <c r="BN323"/>
      <c r="BO323"/>
      <c r="BP323"/>
      <c r="BQ323" s="55"/>
      <c r="BR323"/>
      <c r="BS323"/>
      <c r="BT323"/>
      <c r="BU323"/>
      <c r="BV323"/>
      <c r="BW323"/>
      <c r="BX323"/>
      <c r="BY323"/>
      <c r="BZ323"/>
      <c r="CA323"/>
      <c r="CB323"/>
      <c r="CC323"/>
      <c r="CD323"/>
      <c r="CE323"/>
      <c r="CF323"/>
      <c r="CH323" s="55"/>
      <c r="CI323"/>
      <c r="CJ323" s="16"/>
      <c r="CK323" s="16"/>
      <c r="CL323" s="28"/>
      <c r="CM323" s="28"/>
      <c r="CN323" s="28"/>
      <c r="CO323" s="28"/>
      <c r="CP323" s="28"/>
      <c r="CQ323" s="28"/>
      <c r="CR323" s="28"/>
      <c r="CS323" s="28"/>
      <c r="CT323" s="28"/>
      <c r="CU323" s="28"/>
      <c r="CV323" s="28"/>
      <c r="CW323" s="28"/>
      <c r="CX323" s="28"/>
      <c r="CY323" s="28"/>
      <c r="CZ323" s="28"/>
      <c r="DA323" s="28"/>
      <c r="DB323" s="28"/>
      <c r="DC323" s="28"/>
      <c r="DD323" s="28"/>
      <c r="DF323" s="55"/>
      <c r="DX323" s="28"/>
    </row>
    <row r="324" spans="1:128" s="19" customFormat="1" ht="16" customHeight="1">
      <c r="A324" s="18"/>
      <c r="B324" s="17"/>
      <c r="C324" s="16"/>
      <c r="D324" s="16"/>
      <c r="E324" s="16"/>
      <c r="F324" s="16"/>
      <c r="G324" s="16"/>
      <c r="H324" s="20"/>
      <c r="I324" s="20"/>
      <c r="J324" s="20"/>
      <c r="K324" s="20"/>
      <c r="L324" s="20"/>
      <c r="M324" s="20"/>
      <c r="N324" s="20"/>
      <c r="O324" s="20"/>
      <c r="P324" s="20"/>
      <c r="Q324" s="20"/>
      <c r="R324" s="20"/>
      <c r="S324" s="20"/>
      <c r="T324"/>
      <c r="U324"/>
      <c r="V324"/>
      <c r="W324"/>
      <c r="X324"/>
      <c r="Y324"/>
      <c r="Z324" s="16"/>
      <c r="AA324" s="16"/>
      <c r="AB324" s="55"/>
      <c r="AC324"/>
      <c r="AD324"/>
      <c r="AE324"/>
      <c r="AF324"/>
      <c r="AG324"/>
      <c r="AH324"/>
      <c r="AI324"/>
      <c r="AJ324"/>
      <c r="AK324"/>
      <c r="AL324"/>
      <c r="AM324"/>
      <c r="AN324"/>
      <c r="AO324"/>
      <c r="AP324"/>
      <c r="AQ324"/>
      <c r="AS324" s="55"/>
      <c r="AT324"/>
      <c r="AU324" s="41"/>
      <c r="AV324" s="16"/>
      <c r="AW324" s="16"/>
      <c r="AX324" s="16"/>
      <c r="AY324" s="16"/>
      <c r="AZ324" s="16"/>
      <c r="BA324" s="16"/>
      <c r="BB324" s="16"/>
      <c r="BC324" s="16"/>
      <c r="BD324" s="16"/>
      <c r="BE324" s="16"/>
      <c r="BF324" s="16"/>
      <c r="BG324" s="16"/>
      <c r="BH324" s="16"/>
      <c r="BI324"/>
      <c r="BJ324"/>
      <c r="BK324"/>
      <c r="BL324"/>
      <c r="BM324"/>
      <c r="BN324"/>
      <c r="BO324"/>
      <c r="BP324"/>
      <c r="BQ324" s="55"/>
      <c r="BR324"/>
      <c r="BS324"/>
      <c r="BT324"/>
      <c r="BU324"/>
      <c r="BV324"/>
      <c r="BW324"/>
      <c r="BX324"/>
      <c r="BY324"/>
      <c r="BZ324"/>
      <c r="CA324"/>
      <c r="CB324"/>
      <c r="CC324"/>
      <c r="CD324"/>
      <c r="CE324"/>
      <c r="CF324"/>
      <c r="CH324" s="55"/>
      <c r="CI324"/>
      <c r="CJ324" s="16"/>
      <c r="CK324" s="16"/>
      <c r="CL324" s="28"/>
      <c r="CM324" s="28"/>
      <c r="CN324" s="28"/>
      <c r="CO324" s="28"/>
      <c r="CP324" s="28"/>
      <c r="CQ324" s="28"/>
      <c r="CR324" s="28"/>
      <c r="CS324" s="28"/>
      <c r="CT324" s="28"/>
      <c r="CU324" s="28"/>
      <c r="CV324" s="28"/>
      <c r="CW324" s="28"/>
      <c r="CX324" s="28"/>
      <c r="CY324" s="28"/>
      <c r="CZ324" s="28"/>
      <c r="DA324" s="28"/>
      <c r="DB324" s="28"/>
      <c r="DC324" s="28"/>
      <c r="DD324" s="28"/>
      <c r="DF324" s="55"/>
      <c r="DX324" s="28"/>
    </row>
    <row r="325" spans="1:128" s="19" customFormat="1" ht="16" customHeight="1">
      <c r="A325" s="18"/>
      <c r="B325" s="17"/>
      <c r="C325" s="16"/>
      <c r="D325" s="16"/>
      <c r="E325" s="16"/>
      <c r="F325" s="16"/>
      <c r="G325" s="16"/>
      <c r="H325" s="20"/>
      <c r="I325" s="20"/>
      <c r="J325" s="20"/>
      <c r="K325" s="20"/>
      <c r="L325" s="20"/>
      <c r="M325" s="20"/>
      <c r="N325" s="20"/>
      <c r="O325" s="20"/>
      <c r="P325" s="20"/>
      <c r="Q325" s="20"/>
      <c r="R325" s="20"/>
      <c r="S325" s="20"/>
      <c r="T325"/>
      <c r="U325"/>
      <c r="V325"/>
      <c r="W325"/>
      <c r="X325"/>
      <c r="Y325"/>
      <c r="Z325" s="16"/>
      <c r="AA325" s="16"/>
      <c r="AB325" s="55"/>
      <c r="AC325"/>
      <c r="AD325"/>
      <c r="AE325"/>
      <c r="AF325"/>
      <c r="AG325"/>
      <c r="AH325"/>
      <c r="AI325"/>
      <c r="AJ325"/>
      <c r="AK325"/>
      <c r="AL325"/>
      <c r="AM325"/>
      <c r="AN325"/>
      <c r="AO325"/>
      <c r="AP325"/>
      <c r="AQ325"/>
      <c r="AS325" s="55"/>
      <c r="AT325"/>
      <c r="AU325" s="41"/>
      <c r="AV325" s="16"/>
      <c r="AW325" s="16"/>
      <c r="AX325" s="16"/>
      <c r="AY325" s="16"/>
      <c r="AZ325" s="16"/>
      <c r="BA325" s="16"/>
      <c r="BB325" s="16"/>
      <c r="BC325" s="16"/>
      <c r="BD325" s="16"/>
      <c r="BE325" s="16"/>
      <c r="BF325" s="16"/>
      <c r="BG325" s="16"/>
      <c r="BH325" s="16"/>
      <c r="BI325"/>
      <c r="BJ325"/>
      <c r="BK325"/>
      <c r="BL325"/>
      <c r="BM325"/>
      <c r="BN325"/>
      <c r="BO325"/>
      <c r="BP325"/>
      <c r="BQ325" s="55"/>
      <c r="BR325"/>
      <c r="BS325"/>
      <c r="BT325"/>
      <c r="BU325"/>
      <c r="BV325"/>
      <c r="BW325"/>
      <c r="BX325"/>
      <c r="BY325"/>
      <c r="BZ325"/>
      <c r="CA325"/>
      <c r="CB325"/>
      <c r="CC325"/>
      <c r="CD325"/>
      <c r="CE325"/>
      <c r="CF325"/>
      <c r="CH325" s="55"/>
      <c r="CI325"/>
      <c r="CJ325" s="16"/>
      <c r="CK325" s="16"/>
      <c r="CL325" s="28"/>
      <c r="CM325" s="28"/>
      <c r="CN325" s="28"/>
      <c r="CO325" s="28"/>
      <c r="CP325" s="28"/>
      <c r="CQ325" s="28"/>
      <c r="CR325" s="28"/>
      <c r="CS325" s="28"/>
      <c r="CT325" s="28"/>
      <c r="CU325" s="28"/>
      <c r="CV325" s="28"/>
      <c r="CW325" s="28"/>
      <c r="CX325" s="28"/>
      <c r="CY325" s="28"/>
      <c r="CZ325" s="28"/>
      <c r="DA325" s="28"/>
      <c r="DB325" s="28"/>
      <c r="DC325" s="28"/>
      <c r="DD325" s="28"/>
      <c r="DF325" s="55"/>
      <c r="DX325" s="28"/>
    </row>
    <row r="326" spans="1:128" s="19" customFormat="1" ht="16" customHeight="1">
      <c r="A326" s="18"/>
      <c r="B326" s="17"/>
      <c r="C326" s="16"/>
      <c r="D326" s="16"/>
      <c r="E326" s="16"/>
      <c r="F326" s="16"/>
      <c r="G326" s="16"/>
      <c r="H326" s="20"/>
      <c r="I326" s="20"/>
      <c r="J326" s="20"/>
      <c r="K326" s="20"/>
      <c r="L326" s="20"/>
      <c r="M326" s="20"/>
      <c r="N326" s="20"/>
      <c r="O326" s="20"/>
      <c r="P326" s="20"/>
      <c r="Q326" s="20"/>
      <c r="R326" s="20"/>
      <c r="S326" s="20"/>
      <c r="T326"/>
      <c r="U326"/>
      <c r="V326"/>
      <c r="W326"/>
      <c r="X326"/>
      <c r="Y326"/>
      <c r="Z326" s="16"/>
      <c r="AA326" s="16"/>
      <c r="AB326" s="55"/>
      <c r="AC326"/>
      <c r="AD326"/>
      <c r="AE326"/>
      <c r="AF326"/>
      <c r="AG326"/>
      <c r="AH326"/>
      <c r="AI326"/>
      <c r="AJ326"/>
      <c r="AK326"/>
      <c r="AL326"/>
      <c r="AM326"/>
      <c r="AN326"/>
      <c r="AO326"/>
      <c r="AP326"/>
      <c r="AQ326"/>
      <c r="AS326" s="55"/>
      <c r="AT326"/>
      <c r="AU326" s="41"/>
      <c r="AV326" s="16"/>
      <c r="AW326" s="16"/>
      <c r="AX326" s="16"/>
      <c r="AY326" s="16"/>
      <c r="AZ326" s="16"/>
      <c r="BA326" s="16"/>
      <c r="BB326" s="16"/>
      <c r="BC326" s="16"/>
      <c r="BD326" s="16"/>
      <c r="BE326" s="16"/>
      <c r="BF326" s="16"/>
      <c r="BG326" s="16"/>
      <c r="BH326" s="16"/>
      <c r="BI326"/>
      <c r="BJ326"/>
      <c r="BK326"/>
      <c r="BL326"/>
      <c r="BM326"/>
      <c r="BN326"/>
      <c r="BO326"/>
      <c r="BP326"/>
      <c r="BQ326" s="55"/>
      <c r="BR326"/>
      <c r="BS326"/>
      <c r="BT326"/>
      <c r="BU326"/>
      <c r="BV326"/>
      <c r="BW326"/>
      <c r="BX326"/>
      <c r="BY326"/>
      <c r="BZ326"/>
      <c r="CA326"/>
      <c r="CB326"/>
      <c r="CC326"/>
      <c r="CD326"/>
      <c r="CE326"/>
      <c r="CF326"/>
      <c r="CH326" s="55"/>
      <c r="CI326"/>
      <c r="CJ326" s="16"/>
      <c r="CK326" s="16"/>
      <c r="CL326" s="28"/>
      <c r="CM326" s="28"/>
      <c r="CN326" s="28"/>
      <c r="CO326" s="28"/>
      <c r="CP326" s="28"/>
      <c r="CQ326" s="28"/>
      <c r="CR326" s="28"/>
      <c r="CS326" s="28"/>
      <c r="CT326" s="28"/>
      <c r="CU326" s="28"/>
      <c r="CV326" s="28"/>
      <c r="CW326" s="28"/>
      <c r="CX326" s="28"/>
      <c r="CY326" s="28"/>
      <c r="CZ326" s="28"/>
      <c r="DA326" s="28"/>
      <c r="DB326" s="28"/>
      <c r="DC326" s="28"/>
      <c r="DD326" s="28"/>
      <c r="DF326" s="55"/>
      <c r="DX326" s="28"/>
    </row>
    <row r="327" spans="1:128" s="19" customFormat="1" ht="16" customHeight="1">
      <c r="A327" s="18"/>
      <c r="B327" s="17"/>
      <c r="C327" s="16"/>
      <c r="D327" s="16"/>
      <c r="E327" s="16"/>
      <c r="F327" s="16"/>
      <c r="G327" s="16"/>
      <c r="H327" s="20"/>
      <c r="I327" s="20"/>
      <c r="J327" s="20"/>
      <c r="K327" s="20"/>
      <c r="L327" s="20"/>
      <c r="M327" s="20"/>
      <c r="N327" s="20"/>
      <c r="O327" s="20"/>
      <c r="P327" s="20"/>
      <c r="Q327" s="20"/>
      <c r="R327" s="20"/>
      <c r="S327" s="20"/>
      <c r="T327"/>
      <c r="U327"/>
      <c r="V327"/>
      <c r="W327"/>
      <c r="X327"/>
      <c r="Y327"/>
      <c r="Z327" s="16"/>
      <c r="AA327" s="16"/>
      <c r="AB327" s="55"/>
      <c r="AC327"/>
      <c r="AD327"/>
      <c r="AE327"/>
      <c r="AF327"/>
      <c r="AG327"/>
      <c r="AH327"/>
      <c r="AI327"/>
      <c r="AJ327"/>
      <c r="AK327"/>
      <c r="AL327"/>
      <c r="AM327"/>
      <c r="AN327"/>
      <c r="AO327"/>
      <c r="AP327"/>
      <c r="AQ327"/>
      <c r="AS327" s="55"/>
      <c r="AT327"/>
      <c r="AU327" s="41"/>
      <c r="AV327" s="16"/>
      <c r="AW327" s="16"/>
      <c r="AX327" s="16"/>
      <c r="AY327" s="16"/>
      <c r="AZ327" s="16"/>
      <c r="BA327" s="16"/>
      <c r="BB327" s="16"/>
      <c r="BC327" s="16"/>
      <c r="BD327" s="16"/>
      <c r="BE327" s="16"/>
      <c r="BF327" s="16"/>
      <c r="BG327" s="16"/>
      <c r="BH327" s="16"/>
      <c r="BI327"/>
      <c r="BJ327"/>
      <c r="BK327"/>
      <c r="BL327"/>
      <c r="BM327"/>
      <c r="BN327"/>
      <c r="BO327"/>
      <c r="BP327"/>
      <c r="BQ327" s="55"/>
      <c r="BR327"/>
      <c r="BS327"/>
      <c r="BT327"/>
      <c r="BU327"/>
      <c r="BV327"/>
      <c r="BW327"/>
      <c r="BX327"/>
      <c r="BY327"/>
      <c r="BZ327"/>
      <c r="CA327"/>
      <c r="CB327"/>
      <c r="CC327"/>
      <c r="CD327"/>
      <c r="CE327"/>
      <c r="CF327"/>
      <c r="CH327" s="55"/>
      <c r="CI327"/>
      <c r="CJ327" s="16"/>
      <c r="CK327" s="16"/>
      <c r="CL327" s="28"/>
      <c r="CM327" s="28"/>
      <c r="CN327" s="28"/>
      <c r="CO327" s="28"/>
      <c r="CP327" s="28"/>
      <c r="CQ327" s="28"/>
      <c r="CR327" s="28"/>
      <c r="CS327" s="28"/>
      <c r="CT327" s="28"/>
      <c r="CU327" s="28"/>
      <c r="CV327" s="28"/>
      <c r="CW327" s="28"/>
      <c r="CX327" s="28"/>
      <c r="CY327" s="28"/>
      <c r="CZ327" s="28"/>
      <c r="DA327" s="28"/>
      <c r="DB327" s="28"/>
      <c r="DC327" s="28"/>
      <c r="DD327" s="28"/>
      <c r="DF327" s="55"/>
      <c r="DX327" s="28"/>
    </row>
    <row r="328" spans="1:128" s="19" customFormat="1" ht="16" customHeight="1">
      <c r="A328" s="18"/>
      <c r="B328" s="17"/>
      <c r="C328" s="16"/>
      <c r="D328" s="16"/>
      <c r="E328" s="16"/>
      <c r="F328" s="16"/>
      <c r="G328" s="16"/>
      <c r="H328" s="20"/>
      <c r="I328" s="20"/>
      <c r="J328" s="20"/>
      <c r="K328" s="20"/>
      <c r="L328" s="20"/>
      <c r="M328" s="20"/>
      <c r="N328" s="20"/>
      <c r="O328" s="20"/>
      <c r="P328" s="20"/>
      <c r="Q328" s="20"/>
      <c r="R328" s="20"/>
      <c r="S328" s="20"/>
      <c r="T328"/>
      <c r="U328"/>
      <c r="V328"/>
      <c r="W328"/>
      <c r="X328"/>
      <c r="Y328"/>
      <c r="Z328" s="16"/>
      <c r="AA328" s="16"/>
      <c r="AB328" s="55"/>
      <c r="AC328"/>
      <c r="AD328"/>
      <c r="AE328"/>
      <c r="AF328"/>
      <c r="AG328"/>
      <c r="AH328"/>
      <c r="AI328"/>
      <c r="AJ328"/>
      <c r="AK328"/>
      <c r="AL328"/>
      <c r="AM328"/>
      <c r="AN328"/>
      <c r="AO328"/>
      <c r="AP328"/>
      <c r="AQ328"/>
      <c r="AS328" s="55"/>
      <c r="AT328"/>
      <c r="AU328" s="41"/>
      <c r="AV328" s="16"/>
      <c r="AW328" s="16"/>
      <c r="AX328" s="16"/>
      <c r="AY328" s="16"/>
      <c r="AZ328" s="16"/>
      <c r="BA328" s="16"/>
      <c r="BB328" s="16"/>
      <c r="BC328" s="16"/>
      <c r="BD328" s="16"/>
      <c r="BE328" s="16"/>
      <c r="BF328" s="16"/>
      <c r="BG328" s="16"/>
      <c r="BH328" s="16"/>
      <c r="BI328"/>
      <c r="BJ328"/>
      <c r="BK328"/>
      <c r="BL328"/>
      <c r="BM328"/>
      <c r="BN328"/>
      <c r="BO328"/>
      <c r="BP328"/>
      <c r="BQ328" s="55"/>
      <c r="BR328"/>
      <c r="BS328"/>
      <c r="BT328"/>
      <c r="BU328"/>
      <c r="BV328"/>
      <c r="BW328"/>
      <c r="BX328"/>
      <c r="BY328"/>
      <c r="BZ328"/>
      <c r="CA328"/>
      <c r="CB328"/>
      <c r="CC328"/>
      <c r="CD328"/>
      <c r="CE328"/>
      <c r="CF328"/>
      <c r="CH328" s="55"/>
      <c r="CI328"/>
      <c r="CJ328" s="16"/>
      <c r="CK328" s="16"/>
      <c r="CL328" s="28"/>
      <c r="CM328" s="28"/>
      <c r="CN328" s="28"/>
      <c r="CO328" s="28"/>
      <c r="CP328" s="28"/>
      <c r="CQ328" s="28"/>
      <c r="CR328" s="28"/>
      <c r="CS328" s="28"/>
      <c r="CT328" s="28"/>
      <c r="CU328" s="28"/>
      <c r="CV328" s="28"/>
      <c r="CW328" s="28"/>
      <c r="CX328" s="28"/>
      <c r="CY328" s="28"/>
      <c r="CZ328" s="28"/>
      <c r="DA328" s="28"/>
      <c r="DB328" s="28"/>
      <c r="DC328" s="28"/>
      <c r="DD328" s="28"/>
      <c r="DF328" s="55"/>
      <c r="DX328" s="28"/>
    </row>
    <row r="329" spans="1:128" s="19" customFormat="1" ht="16" customHeight="1">
      <c r="A329" s="18"/>
      <c r="B329" s="17"/>
      <c r="C329" s="16"/>
      <c r="D329" s="16"/>
      <c r="E329" s="16"/>
      <c r="F329" s="16"/>
      <c r="G329" s="16"/>
      <c r="H329" s="20"/>
      <c r="I329" s="20"/>
      <c r="J329" s="20"/>
      <c r="K329" s="20"/>
      <c r="L329" s="20"/>
      <c r="M329" s="20"/>
      <c r="N329" s="20"/>
      <c r="O329" s="20"/>
      <c r="P329" s="20"/>
      <c r="Q329" s="20"/>
      <c r="R329" s="20"/>
      <c r="S329" s="20"/>
      <c r="T329"/>
      <c r="U329"/>
      <c r="V329"/>
      <c r="W329"/>
      <c r="X329"/>
      <c r="Y329"/>
      <c r="Z329" s="16"/>
      <c r="AA329" s="16"/>
      <c r="AB329" s="55"/>
      <c r="AC329"/>
      <c r="AD329"/>
      <c r="AE329"/>
      <c r="AF329"/>
      <c r="AG329"/>
      <c r="AH329"/>
      <c r="AI329"/>
      <c r="AJ329"/>
      <c r="AK329"/>
      <c r="AL329"/>
      <c r="AM329"/>
      <c r="AN329"/>
      <c r="AO329"/>
      <c r="AP329"/>
      <c r="AQ329"/>
      <c r="AS329" s="55"/>
      <c r="AT329"/>
      <c r="AU329" s="41"/>
      <c r="AV329" s="16"/>
      <c r="AW329" s="16"/>
      <c r="AX329" s="16"/>
      <c r="AY329" s="16"/>
      <c r="AZ329" s="16"/>
      <c r="BA329" s="16"/>
      <c r="BB329" s="16"/>
      <c r="BC329" s="16"/>
      <c r="BD329" s="16"/>
      <c r="BE329" s="16"/>
      <c r="BF329" s="16"/>
      <c r="BG329" s="16"/>
      <c r="BH329" s="16"/>
      <c r="BI329"/>
      <c r="BJ329"/>
      <c r="BK329"/>
      <c r="BL329"/>
      <c r="BM329"/>
      <c r="BN329"/>
      <c r="BO329"/>
      <c r="BP329"/>
      <c r="BQ329" s="55"/>
      <c r="BR329"/>
      <c r="BS329"/>
      <c r="BT329"/>
      <c r="BU329"/>
      <c r="BV329"/>
      <c r="BW329"/>
      <c r="BX329"/>
      <c r="BY329"/>
      <c r="BZ329"/>
      <c r="CA329"/>
      <c r="CB329"/>
      <c r="CC329"/>
      <c r="CD329"/>
      <c r="CE329"/>
      <c r="CF329"/>
      <c r="CH329" s="55"/>
      <c r="CI329"/>
      <c r="CJ329" s="16"/>
      <c r="CK329" s="16"/>
      <c r="CL329" s="28"/>
      <c r="CM329" s="28"/>
      <c r="CN329" s="28"/>
      <c r="CO329" s="28"/>
      <c r="CP329" s="28"/>
      <c r="CQ329" s="28"/>
      <c r="CR329" s="28"/>
      <c r="CS329" s="28"/>
      <c r="CT329" s="28"/>
      <c r="CU329" s="28"/>
      <c r="CV329" s="28"/>
      <c r="CW329" s="28"/>
      <c r="CX329" s="28"/>
      <c r="CY329" s="28"/>
      <c r="CZ329" s="28"/>
      <c r="DA329" s="28"/>
      <c r="DB329" s="28"/>
      <c r="DC329" s="28"/>
      <c r="DD329" s="28"/>
      <c r="DF329" s="55"/>
      <c r="DX329" s="28"/>
    </row>
    <row r="330" spans="1:128" s="19" customFormat="1" ht="16" customHeight="1">
      <c r="A330" s="18"/>
      <c r="B330" s="17"/>
      <c r="C330" s="16"/>
      <c r="D330" s="16"/>
      <c r="E330" s="16"/>
      <c r="F330" s="16"/>
      <c r="G330" s="16"/>
      <c r="H330" s="20"/>
      <c r="I330" s="20"/>
      <c r="J330" s="20"/>
      <c r="K330" s="20"/>
      <c r="L330" s="20"/>
      <c r="M330" s="20"/>
      <c r="N330" s="20"/>
      <c r="O330" s="20"/>
      <c r="P330" s="20"/>
      <c r="Q330" s="20"/>
      <c r="R330" s="20"/>
      <c r="S330" s="20"/>
      <c r="T330"/>
      <c r="U330"/>
      <c r="V330"/>
      <c r="W330"/>
      <c r="X330"/>
      <c r="Y330"/>
      <c r="Z330" s="16"/>
      <c r="AA330" s="16"/>
      <c r="AB330" s="55"/>
      <c r="AC330"/>
      <c r="AD330"/>
      <c r="AE330"/>
      <c r="AF330"/>
      <c r="AG330"/>
      <c r="AH330"/>
      <c r="AI330"/>
      <c r="AJ330"/>
      <c r="AK330"/>
      <c r="AL330"/>
      <c r="AM330"/>
      <c r="AN330"/>
      <c r="AO330"/>
      <c r="AP330"/>
      <c r="AQ330"/>
      <c r="AS330" s="55"/>
      <c r="AT330"/>
      <c r="AU330" s="41"/>
      <c r="AV330" s="16"/>
      <c r="AW330" s="16"/>
      <c r="AX330" s="16"/>
      <c r="AY330" s="16"/>
      <c r="AZ330" s="16"/>
      <c r="BA330" s="16"/>
      <c r="BB330" s="16"/>
      <c r="BC330" s="16"/>
      <c r="BD330" s="16"/>
      <c r="BE330" s="16"/>
      <c r="BF330" s="16"/>
      <c r="BG330" s="16"/>
      <c r="BH330" s="16"/>
      <c r="BI330"/>
      <c r="BJ330"/>
      <c r="BK330"/>
      <c r="BL330"/>
      <c r="BM330"/>
      <c r="BN330"/>
      <c r="BO330"/>
      <c r="BP330"/>
      <c r="BQ330" s="55"/>
      <c r="BR330"/>
      <c r="BS330"/>
      <c r="BT330"/>
      <c r="BU330"/>
      <c r="BV330"/>
      <c r="BW330"/>
      <c r="BX330"/>
      <c r="BY330"/>
      <c r="BZ330"/>
      <c r="CA330"/>
      <c r="CB330"/>
      <c r="CC330"/>
      <c r="CD330"/>
      <c r="CE330"/>
      <c r="CF330"/>
      <c r="CH330" s="55"/>
      <c r="CI330"/>
      <c r="CJ330" s="16"/>
      <c r="CK330" s="16"/>
      <c r="CL330" s="28"/>
      <c r="CM330" s="28"/>
      <c r="CN330" s="28"/>
      <c r="CO330" s="28"/>
      <c r="CP330" s="28"/>
      <c r="CQ330" s="28"/>
      <c r="CR330" s="28"/>
      <c r="CS330" s="28"/>
      <c r="CT330" s="28"/>
      <c r="CU330" s="28"/>
      <c r="CV330" s="28"/>
      <c r="CW330" s="28"/>
      <c r="CX330" s="28"/>
      <c r="CY330" s="28"/>
      <c r="CZ330" s="28"/>
      <c r="DA330" s="28"/>
      <c r="DB330" s="28"/>
      <c r="DC330" s="28"/>
      <c r="DD330" s="28"/>
      <c r="DF330" s="55"/>
      <c r="DX330" s="28"/>
    </row>
    <row r="331" spans="1:128" s="19" customFormat="1" ht="16" customHeight="1">
      <c r="A331" s="18"/>
      <c r="B331" s="17"/>
      <c r="C331" s="16"/>
      <c r="D331" s="16"/>
      <c r="E331" s="16"/>
      <c r="F331" s="16"/>
      <c r="G331" s="16"/>
      <c r="H331" s="20"/>
      <c r="I331" s="20"/>
      <c r="J331" s="20"/>
      <c r="K331" s="20"/>
      <c r="L331" s="20"/>
      <c r="M331" s="20"/>
      <c r="N331" s="20"/>
      <c r="O331" s="20"/>
      <c r="P331" s="20"/>
      <c r="Q331" s="20"/>
      <c r="R331" s="20"/>
      <c r="S331" s="20"/>
      <c r="T331"/>
      <c r="U331"/>
      <c r="V331"/>
      <c r="W331"/>
      <c r="X331"/>
      <c r="Y331"/>
      <c r="Z331" s="16"/>
      <c r="AA331" s="16"/>
      <c r="AB331" s="55"/>
      <c r="AC331"/>
      <c r="AD331"/>
      <c r="AE331"/>
      <c r="AF331"/>
      <c r="AG331"/>
      <c r="AH331"/>
      <c r="AI331"/>
      <c r="AJ331"/>
      <c r="AK331"/>
      <c r="AL331"/>
      <c r="AM331"/>
      <c r="AN331"/>
      <c r="AO331"/>
      <c r="AP331"/>
      <c r="AQ331"/>
      <c r="AS331" s="55"/>
      <c r="AT331"/>
      <c r="AU331" s="41"/>
      <c r="AV331" s="16"/>
      <c r="AW331" s="16"/>
      <c r="AX331" s="16"/>
      <c r="AY331" s="16"/>
      <c r="AZ331" s="16"/>
      <c r="BA331" s="16"/>
      <c r="BB331" s="16"/>
      <c r="BC331" s="16"/>
      <c r="BD331" s="16"/>
      <c r="BE331" s="16"/>
      <c r="BF331" s="16"/>
      <c r="BG331" s="16"/>
      <c r="BH331" s="16"/>
      <c r="BI331"/>
      <c r="BJ331"/>
      <c r="BK331"/>
      <c r="BL331"/>
      <c r="BM331"/>
      <c r="BN331"/>
      <c r="BO331"/>
      <c r="BP331"/>
      <c r="BQ331" s="55"/>
      <c r="BR331"/>
      <c r="BS331"/>
      <c r="BT331"/>
      <c r="BU331"/>
      <c r="BV331"/>
      <c r="BW331"/>
      <c r="BX331"/>
      <c r="BY331"/>
      <c r="BZ331"/>
      <c r="CA331"/>
      <c r="CB331"/>
      <c r="CC331"/>
      <c r="CD331"/>
      <c r="CE331"/>
      <c r="CF331"/>
      <c r="CH331" s="55"/>
      <c r="CI331"/>
      <c r="CJ331" s="16"/>
      <c r="CK331" s="16"/>
      <c r="CL331" s="28"/>
      <c r="CM331" s="28"/>
      <c r="CN331" s="28"/>
      <c r="CO331" s="28"/>
      <c r="CP331" s="28"/>
      <c r="CQ331" s="28"/>
      <c r="CR331" s="28"/>
      <c r="CS331" s="28"/>
      <c r="CT331" s="28"/>
      <c r="CU331" s="28"/>
      <c r="CV331" s="28"/>
      <c r="CW331" s="28"/>
      <c r="CX331" s="28"/>
      <c r="CY331" s="28"/>
      <c r="CZ331" s="28"/>
      <c r="DA331" s="28"/>
      <c r="DB331" s="28"/>
      <c r="DC331" s="28"/>
      <c r="DD331" s="28"/>
      <c r="DF331" s="55"/>
      <c r="DX331" s="28"/>
    </row>
    <row r="332" spans="1:128" s="19" customFormat="1" ht="16" customHeight="1">
      <c r="A332" s="18"/>
      <c r="B332" s="17"/>
      <c r="C332" s="16"/>
      <c r="D332" s="16"/>
      <c r="E332" s="16"/>
      <c r="F332" s="16"/>
      <c r="G332" s="16"/>
      <c r="H332" s="20"/>
      <c r="I332" s="20"/>
      <c r="J332" s="20"/>
      <c r="K332" s="20"/>
      <c r="L332" s="20"/>
      <c r="M332" s="20"/>
      <c r="N332" s="20"/>
      <c r="O332" s="20"/>
      <c r="P332" s="20"/>
      <c r="Q332" s="20"/>
      <c r="R332" s="20"/>
      <c r="S332" s="20"/>
      <c r="T332"/>
      <c r="U332"/>
      <c r="V332"/>
      <c r="W332"/>
      <c r="X332"/>
      <c r="Y332"/>
      <c r="Z332" s="16"/>
      <c r="AA332" s="16"/>
      <c r="AB332" s="55"/>
      <c r="AC332"/>
      <c r="AD332"/>
      <c r="AE332"/>
      <c r="AF332"/>
      <c r="AG332"/>
      <c r="AH332"/>
      <c r="AI332"/>
      <c r="AJ332"/>
      <c r="AK332"/>
      <c r="AL332"/>
      <c r="AM332"/>
      <c r="AN332"/>
      <c r="AO332"/>
      <c r="AP332"/>
      <c r="AQ332"/>
      <c r="AS332" s="55"/>
      <c r="AT332"/>
      <c r="AU332" s="41"/>
      <c r="AV332" s="16"/>
      <c r="AW332" s="16"/>
      <c r="AX332" s="16"/>
      <c r="AY332" s="16"/>
      <c r="AZ332" s="16"/>
      <c r="BA332" s="16"/>
      <c r="BB332" s="16"/>
      <c r="BC332" s="16"/>
      <c r="BD332" s="16"/>
      <c r="BE332" s="16"/>
      <c r="BF332" s="16"/>
      <c r="BG332" s="16"/>
      <c r="BH332" s="16"/>
      <c r="BI332"/>
      <c r="BJ332"/>
      <c r="BK332"/>
      <c r="BL332"/>
      <c r="BM332"/>
      <c r="BN332"/>
      <c r="BO332"/>
      <c r="BP332"/>
      <c r="BQ332" s="55"/>
      <c r="BR332"/>
      <c r="BS332"/>
      <c r="BT332"/>
      <c r="BU332"/>
      <c r="BV332"/>
      <c r="BW332"/>
      <c r="BX332"/>
      <c r="BY332"/>
      <c r="BZ332"/>
      <c r="CA332"/>
      <c r="CB332"/>
      <c r="CC332"/>
      <c r="CD332"/>
      <c r="CE332"/>
      <c r="CF332"/>
      <c r="CH332" s="55"/>
      <c r="CI332"/>
      <c r="CJ332" s="16"/>
      <c r="CK332" s="16"/>
      <c r="CL332" s="28"/>
      <c r="CM332" s="28"/>
      <c r="CN332" s="28"/>
      <c r="CO332" s="28"/>
      <c r="CP332" s="28"/>
      <c r="CQ332" s="28"/>
      <c r="CR332" s="28"/>
      <c r="CS332" s="28"/>
      <c r="CT332" s="28"/>
      <c r="CU332" s="28"/>
      <c r="CV332" s="28"/>
      <c r="CW332" s="28"/>
      <c r="CX332" s="28"/>
      <c r="CY332" s="28"/>
      <c r="CZ332" s="28"/>
      <c r="DA332" s="28"/>
      <c r="DB332" s="28"/>
      <c r="DC332" s="28"/>
      <c r="DD332" s="28"/>
      <c r="DF332" s="55"/>
      <c r="DX332" s="28"/>
    </row>
    <row r="333" spans="1:128" s="19" customFormat="1" ht="16" customHeight="1">
      <c r="A333" s="18"/>
      <c r="B333" s="17"/>
      <c r="C333" s="16"/>
      <c r="D333" s="16"/>
      <c r="E333" s="16"/>
      <c r="F333" s="16"/>
      <c r="G333" s="16"/>
      <c r="H333" s="20"/>
      <c r="I333" s="20"/>
      <c r="J333" s="20"/>
      <c r="K333" s="20"/>
      <c r="L333" s="20"/>
      <c r="M333" s="20"/>
      <c r="N333" s="20"/>
      <c r="O333" s="20"/>
      <c r="P333" s="20"/>
      <c r="Q333" s="20"/>
      <c r="R333" s="20"/>
      <c r="S333" s="20"/>
      <c r="T333"/>
      <c r="U333"/>
      <c r="V333"/>
      <c r="W333"/>
      <c r="X333"/>
      <c r="Y333"/>
      <c r="Z333" s="16"/>
      <c r="AA333" s="16"/>
      <c r="AB333" s="55"/>
      <c r="AC333"/>
      <c r="AD333"/>
      <c r="AE333"/>
      <c r="AF333"/>
      <c r="AG333"/>
      <c r="AH333"/>
      <c r="AI333"/>
      <c r="AJ333"/>
      <c r="AK333"/>
      <c r="AL333"/>
      <c r="AM333"/>
      <c r="AN333"/>
      <c r="AO333"/>
      <c r="AP333"/>
      <c r="AQ333"/>
      <c r="AS333" s="55"/>
      <c r="AT333"/>
      <c r="AU333" s="41"/>
      <c r="AV333" s="16"/>
      <c r="AW333" s="16"/>
      <c r="AX333" s="16"/>
      <c r="AY333" s="16"/>
      <c r="AZ333" s="16"/>
      <c r="BA333" s="16"/>
      <c r="BB333" s="16"/>
      <c r="BC333" s="16"/>
      <c r="BD333" s="16"/>
      <c r="BE333" s="16"/>
      <c r="BF333" s="16"/>
      <c r="BG333" s="16"/>
      <c r="BH333" s="16"/>
      <c r="BI333"/>
      <c r="BJ333"/>
      <c r="BK333"/>
      <c r="BL333"/>
      <c r="BM333"/>
      <c r="BN333"/>
      <c r="BO333"/>
      <c r="BP333"/>
      <c r="BQ333" s="55"/>
      <c r="BR333"/>
      <c r="BS333"/>
      <c r="BT333"/>
      <c r="BU333"/>
      <c r="BV333"/>
      <c r="BW333"/>
      <c r="BX333"/>
      <c r="BY333"/>
      <c r="BZ333"/>
      <c r="CA333"/>
      <c r="CB333"/>
      <c r="CC333"/>
      <c r="CD333"/>
      <c r="CE333"/>
      <c r="CF333"/>
      <c r="CH333" s="55"/>
      <c r="CI333"/>
      <c r="CJ333" s="16"/>
      <c r="CK333" s="16"/>
      <c r="CL333" s="28"/>
      <c r="CM333" s="28"/>
      <c r="CN333" s="28"/>
      <c r="CO333" s="28"/>
      <c r="CP333" s="28"/>
      <c r="CQ333" s="28"/>
      <c r="CR333" s="28"/>
      <c r="CS333" s="28"/>
      <c r="CT333" s="28"/>
      <c r="CU333" s="28"/>
      <c r="CV333" s="28"/>
      <c r="CW333" s="28"/>
      <c r="CX333" s="28"/>
      <c r="CY333" s="28"/>
      <c r="CZ333" s="28"/>
      <c r="DA333" s="28"/>
      <c r="DB333" s="28"/>
      <c r="DC333" s="28"/>
      <c r="DD333" s="28"/>
      <c r="DF333" s="55"/>
      <c r="DX333" s="28"/>
    </row>
    <row r="334" spans="1:128" s="19" customFormat="1" ht="16" customHeight="1">
      <c r="A334" s="18"/>
      <c r="B334" s="17"/>
      <c r="C334" s="16"/>
      <c r="D334" s="16"/>
      <c r="E334" s="16"/>
      <c r="F334" s="16"/>
      <c r="G334" s="16"/>
      <c r="H334" s="20"/>
      <c r="I334" s="20"/>
      <c r="J334" s="20"/>
      <c r="K334" s="20"/>
      <c r="L334" s="20"/>
      <c r="M334" s="20"/>
      <c r="N334" s="20"/>
      <c r="O334" s="20"/>
      <c r="P334" s="20"/>
      <c r="Q334" s="20"/>
      <c r="R334" s="20"/>
      <c r="S334" s="20"/>
      <c r="T334"/>
      <c r="U334"/>
      <c r="V334"/>
      <c r="W334"/>
      <c r="X334"/>
      <c r="Y334"/>
      <c r="Z334" s="16"/>
      <c r="AA334" s="16"/>
      <c r="AB334" s="55"/>
      <c r="AC334"/>
      <c r="AD334"/>
      <c r="AE334"/>
      <c r="AF334"/>
      <c r="AG334"/>
      <c r="AH334"/>
      <c r="AI334"/>
      <c r="AJ334"/>
      <c r="AK334"/>
      <c r="AL334"/>
      <c r="AM334"/>
      <c r="AN334"/>
      <c r="AO334"/>
      <c r="AP334"/>
      <c r="AQ334"/>
      <c r="AS334" s="55"/>
      <c r="AT334"/>
      <c r="AU334" s="41"/>
      <c r="AV334" s="16"/>
      <c r="AW334" s="16"/>
      <c r="AX334" s="16"/>
      <c r="AY334" s="16"/>
      <c r="AZ334" s="16"/>
      <c r="BA334" s="16"/>
      <c r="BB334" s="16"/>
      <c r="BC334" s="16"/>
      <c r="BD334" s="16"/>
      <c r="BE334" s="16"/>
      <c r="BF334" s="16"/>
      <c r="BG334" s="16"/>
      <c r="BH334" s="16"/>
      <c r="BI334"/>
      <c r="BJ334"/>
      <c r="BK334"/>
      <c r="BL334"/>
      <c r="BM334"/>
      <c r="BN334"/>
      <c r="BO334"/>
      <c r="BP334"/>
      <c r="BQ334" s="55"/>
      <c r="BR334"/>
      <c r="BS334"/>
      <c r="BT334"/>
      <c r="BU334"/>
      <c r="BV334"/>
      <c r="BW334"/>
      <c r="BX334"/>
      <c r="BY334"/>
      <c r="BZ334"/>
      <c r="CA334"/>
      <c r="CB334"/>
      <c r="CC334"/>
      <c r="CD334"/>
      <c r="CE334"/>
      <c r="CF334"/>
      <c r="CH334" s="55"/>
      <c r="CI334"/>
      <c r="CJ334" s="16"/>
      <c r="CK334" s="16"/>
      <c r="CL334" s="28"/>
      <c r="CM334" s="28"/>
      <c r="CN334" s="28"/>
      <c r="CO334" s="28"/>
      <c r="CP334" s="28"/>
      <c r="CQ334" s="28"/>
      <c r="CR334" s="28"/>
      <c r="CS334" s="28"/>
      <c r="CT334" s="28"/>
      <c r="CU334" s="28"/>
      <c r="CV334" s="28"/>
      <c r="CW334" s="28"/>
      <c r="CX334" s="28"/>
      <c r="CY334" s="28"/>
      <c r="CZ334" s="28"/>
      <c r="DA334" s="28"/>
      <c r="DB334" s="28"/>
      <c r="DC334" s="28"/>
      <c r="DD334" s="28"/>
      <c r="DF334" s="55"/>
      <c r="DX334" s="28"/>
    </row>
    <row r="335" spans="1:128" s="19" customFormat="1" ht="16" customHeight="1">
      <c r="A335" s="18"/>
      <c r="B335" s="17"/>
      <c r="C335" s="16"/>
      <c r="D335" s="16"/>
      <c r="E335" s="16"/>
      <c r="F335" s="16"/>
      <c r="G335" s="16"/>
      <c r="H335" s="20"/>
      <c r="I335" s="20"/>
      <c r="J335" s="20"/>
      <c r="K335" s="20"/>
      <c r="L335" s="20"/>
      <c r="M335" s="20"/>
      <c r="N335" s="20"/>
      <c r="O335" s="20"/>
      <c r="P335" s="20"/>
      <c r="Q335" s="20"/>
      <c r="R335" s="20"/>
      <c r="S335" s="20"/>
      <c r="T335"/>
      <c r="U335"/>
      <c r="V335"/>
      <c r="W335"/>
      <c r="X335"/>
      <c r="Y335"/>
      <c r="Z335" s="16"/>
      <c r="AA335" s="16"/>
      <c r="AB335" s="55"/>
      <c r="AC335"/>
      <c r="AD335"/>
      <c r="AE335"/>
      <c r="AF335"/>
      <c r="AG335"/>
      <c r="AH335"/>
      <c r="AI335"/>
      <c r="AJ335"/>
      <c r="AK335"/>
      <c r="AL335"/>
      <c r="AM335"/>
      <c r="AN335"/>
      <c r="AO335"/>
      <c r="AP335"/>
      <c r="AQ335"/>
      <c r="AS335" s="55"/>
      <c r="AT335"/>
      <c r="AU335" s="41"/>
      <c r="AV335" s="16"/>
      <c r="AW335" s="16"/>
      <c r="AX335" s="16"/>
      <c r="AY335" s="16"/>
      <c r="AZ335" s="16"/>
      <c r="BA335" s="16"/>
      <c r="BB335" s="16"/>
      <c r="BC335" s="16"/>
      <c r="BD335" s="16"/>
      <c r="BE335" s="16"/>
      <c r="BF335" s="16"/>
      <c r="BG335" s="16"/>
      <c r="BH335" s="16"/>
      <c r="BI335"/>
      <c r="BJ335"/>
      <c r="BK335"/>
      <c r="BL335"/>
      <c r="BM335"/>
      <c r="BN335"/>
      <c r="BO335"/>
      <c r="BP335"/>
      <c r="BQ335" s="55"/>
      <c r="BR335"/>
      <c r="BS335"/>
      <c r="BT335"/>
      <c r="BU335"/>
      <c r="BV335"/>
      <c r="BW335"/>
      <c r="BX335"/>
      <c r="BY335"/>
      <c r="BZ335"/>
      <c r="CA335"/>
      <c r="CB335"/>
      <c r="CC335"/>
      <c r="CD335"/>
      <c r="CE335"/>
      <c r="CF335"/>
      <c r="CH335" s="55"/>
      <c r="CI335"/>
      <c r="CJ335" s="16"/>
      <c r="CK335" s="16"/>
      <c r="CL335" s="28"/>
      <c r="CM335" s="28"/>
      <c r="CN335" s="28"/>
      <c r="CO335" s="28"/>
      <c r="CP335" s="28"/>
      <c r="CQ335" s="28"/>
      <c r="CR335" s="28"/>
      <c r="CS335" s="28"/>
      <c r="CT335" s="28"/>
      <c r="CU335" s="28"/>
      <c r="CV335" s="28"/>
      <c r="CW335" s="28"/>
      <c r="CX335" s="28"/>
      <c r="CY335" s="28"/>
      <c r="CZ335" s="28"/>
      <c r="DA335" s="28"/>
      <c r="DB335" s="28"/>
      <c r="DC335" s="28"/>
      <c r="DD335" s="28"/>
      <c r="DF335" s="55"/>
      <c r="DX335" s="28"/>
    </row>
    <row r="336" spans="1:128" s="19" customFormat="1" ht="16" customHeight="1">
      <c r="A336" s="18"/>
      <c r="B336" s="17"/>
      <c r="C336" s="16"/>
      <c r="D336" s="16"/>
      <c r="E336" s="16"/>
      <c r="F336" s="16"/>
      <c r="G336" s="16"/>
      <c r="H336" s="20"/>
      <c r="I336" s="20"/>
      <c r="J336" s="20"/>
      <c r="K336" s="20"/>
      <c r="L336" s="20"/>
      <c r="M336" s="20"/>
      <c r="N336" s="20"/>
      <c r="O336" s="20"/>
      <c r="P336" s="20"/>
      <c r="Q336" s="20"/>
      <c r="R336" s="20"/>
      <c r="S336" s="20"/>
      <c r="T336"/>
      <c r="U336"/>
      <c r="V336"/>
      <c r="W336"/>
      <c r="X336"/>
      <c r="Y336"/>
      <c r="Z336" s="16"/>
      <c r="AA336" s="16"/>
      <c r="AB336" s="55"/>
      <c r="AC336"/>
      <c r="AD336"/>
      <c r="AE336"/>
      <c r="AF336"/>
      <c r="AG336"/>
      <c r="AH336"/>
      <c r="AI336"/>
      <c r="AJ336"/>
      <c r="AK336"/>
      <c r="AL336"/>
      <c r="AM336"/>
      <c r="AN336"/>
      <c r="AO336"/>
      <c r="AP336"/>
      <c r="AQ336"/>
      <c r="AS336" s="55"/>
      <c r="AT336"/>
      <c r="AU336" s="41"/>
      <c r="AV336" s="16"/>
      <c r="AW336" s="16"/>
      <c r="AX336" s="16"/>
      <c r="AY336" s="16"/>
      <c r="AZ336" s="16"/>
      <c r="BA336" s="16"/>
      <c r="BB336" s="16"/>
      <c r="BC336" s="16"/>
      <c r="BD336" s="16"/>
      <c r="BE336" s="16"/>
      <c r="BF336" s="16"/>
      <c r="BG336" s="16"/>
      <c r="BH336" s="16"/>
      <c r="BI336"/>
      <c r="BJ336"/>
      <c r="BK336"/>
      <c r="BL336"/>
      <c r="BM336"/>
      <c r="BN336"/>
      <c r="BO336"/>
      <c r="BP336"/>
      <c r="BQ336" s="55"/>
      <c r="BR336"/>
      <c r="BS336"/>
      <c r="BT336"/>
      <c r="BU336"/>
      <c r="BV336"/>
      <c r="BW336"/>
      <c r="BX336"/>
      <c r="BY336"/>
      <c r="BZ336"/>
      <c r="CA336"/>
      <c r="CB336"/>
      <c r="CC336"/>
      <c r="CD336"/>
      <c r="CE336"/>
      <c r="CF336"/>
      <c r="CH336" s="55"/>
      <c r="CI336"/>
      <c r="CJ336" s="16"/>
      <c r="CK336" s="16"/>
      <c r="CL336" s="28"/>
      <c r="CM336" s="28"/>
      <c r="CN336" s="28"/>
      <c r="CO336" s="28"/>
      <c r="CP336" s="28"/>
      <c r="CQ336" s="28"/>
      <c r="CR336" s="28"/>
      <c r="CS336" s="28"/>
      <c r="CT336" s="28"/>
      <c r="CU336" s="28"/>
      <c r="CV336" s="28"/>
      <c r="CW336" s="28"/>
      <c r="CX336" s="28"/>
      <c r="CY336" s="28"/>
      <c r="CZ336" s="28"/>
      <c r="DA336" s="28"/>
      <c r="DB336" s="28"/>
      <c r="DC336" s="28"/>
      <c r="DD336" s="28"/>
      <c r="DF336" s="55"/>
      <c r="DX336" s="28"/>
    </row>
    <row r="337" spans="1:128" s="19" customFormat="1" ht="16" customHeight="1">
      <c r="A337" s="18"/>
      <c r="B337" s="17"/>
      <c r="C337" s="16"/>
      <c r="D337" s="16"/>
      <c r="E337" s="16"/>
      <c r="F337" s="16"/>
      <c r="G337" s="16"/>
      <c r="H337" s="20"/>
      <c r="I337" s="20"/>
      <c r="J337" s="20"/>
      <c r="K337" s="20"/>
      <c r="L337" s="20"/>
      <c r="M337" s="20"/>
      <c r="N337" s="20"/>
      <c r="O337" s="20"/>
      <c r="P337" s="20"/>
      <c r="Q337" s="20"/>
      <c r="R337" s="20"/>
      <c r="S337" s="20"/>
      <c r="T337"/>
      <c r="U337"/>
      <c r="V337"/>
      <c r="W337"/>
      <c r="X337"/>
      <c r="Y337"/>
      <c r="Z337" s="16"/>
      <c r="AA337" s="16"/>
      <c r="AB337" s="55"/>
      <c r="AC337"/>
      <c r="AD337"/>
      <c r="AE337"/>
      <c r="AF337"/>
      <c r="AG337"/>
      <c r="AH337"/>
      <c r="AI337"/>
      <c r="AJ337"/>
      <c r="AK337"/>
      <c r="AL337"/>
      <c r="AM337"/>
      <c r="AN337"/>
      <c r="AO337"/>
      <c r="AP337"/>
      <c r="AQ337"/>
      <c r="AS337" s="55"/>
      <c r="AT337"/>
      <c r="AU337" s="41"/>
      <c r="AV337" s="16"/>
      <c r="AW337" s="16"/>
      <c r="AX337" s="16"/>
      <c r="AY337" s="16"/>
      <c r="AZ337" s="16"/>
      <c r="BA337" s="16"/>
      <c r="BB337" s="16"/>
      <c r="BC337" s="16"/>
      <c r="BD337" s="16"/>
      <c r="BE337" s="16"/>
      <c r="BF337" s="16"/>
      <c r="BG337" s="16"/>
      <c r="BH337" s="16"/>
      <c r="BI337"/>
      <c r="BJ337"/>
      <c r="BK337"/>
      <c r="BL337"/>
      <c r="BM337"/>
      <c r="BN337"/>
      <c r="BO337"/>
      <c r="BP337"/>
      <c r="BQ337" s="55"/>
      <c r="BR337"/>
      <c r="BS337"/>
      <c r="BT337"/>
      <c r="BU337"/>
      <c r="BV337"/>
      <c r="BW337"/>
      <c r="BX337"/>
      <c r="BY337"/>
      <c r="BZ337"/>
      <c r="CA337"/>
      <c r="CB337"/>
      <c r="CC337"/>
      <c r="CD337"/>
      <c r="CE337"/>
      <c r="CF337"/>
      <c r="CH337" s="55"/>
      <c r="CI337"/>
      <c r="CJ337" s="16"/>
      <c r="CK337" s="16"/>
      <c r="CL337" s="28"/>
      <c r="CM337" s="28"/>
      <c r="CN337" s="28"/>
      <c r="CO337" s="28"/>
      <c r="CP337" s="28"/>
      <c r="CQ337" s="28"/>
      <c r="CR337" s="28"/>
      <c r="CS337" s="28"/>
      <c r="CT337" s="28"/>
      <c r="CU337" s="28"/>
      <c r="CV337" s="28"/>
      <c r="CW337" s="28"/>
      <c r="CX337" s="28"/>
      <c r="CY337" s="28"/>
      <c r="CZ337" s="28"/>
      <c r="DA337" s="28"/>
      <c r="DB337" s="28"/>
      <c r="DC337" s="28"/>
      <c r="DD337" s="28"/>
      <c r="DF337" s="55"/>
      <c r="DX337" s="28"/>
    </row>
    <row r="338" spans="1:128" s="19" customFormat="1" ht="16" customHeight="1">
      <c r="A338" s="18"/>
      <c r="B338" s="17"/>
      <c r="C338" s="16"/>
      <c r="D338" s="16"/>
      <c r="E338" s="16"/>
      <c r="F338" s="16"/>
      <c r="G338" s="16"/>
      <c r="H338" s="20"/>
      <c r="I338" s="20"/>
      <c r="J338" s="20"/>
      <c r="K338" s="20"/>
      <c r="L338" s="20"/>
      <c r="M338" s="20"/>
      <c r="N338" s="20"/>
      <c r="O338" s="20"/>
      <c r="P338" s="20"/>
      <c r="Q338" s="20"/>
      <c r="R338" s="20"/>
      <c r="S338" s="20"/>
      <c r="T338"/>
      <c r="U338"/>
      <c r="V338"/>
      <c r="W338"/>
      <c r="X338"/>
      <c r="Y338"/>
      <c r="Z338" s="16"/>
      <c r="AA338" s="16"/>
      <c r="AB338" s="55"/>
      <c r="AC338"/>
      <c r="AD338"/>
      <c r="AE338"/>
      <c r="AF338"/>
      <c r="AG338"/>
      <c r="AH338"/>
      <c r="AI338"/>
      <c r="AJ338"/>
      <c r="AK338"/>
      <c r="AL338"/>
      <c r="AM338"/>
      <c r="AN338"/>
      <c r="AO338"/>
      <c r="AP338"/>
      <c r="AQ338"/>
      <c r="AS338" s="55"/>
      <c r="AT338"/>
      <c r="AU338" s="41"/>
      <c r="AV338" s="16"/>
      <c r="AW338" s="16"/>
      <c r="AX338" s="16"/>
      <c r="AY338" s="16"/>
      <c r="AZ338" s="16"/>
      <c r="BA338" s="16"/>
      <c r="BB338" s="16"/>
      <c r="BC338" s="16"/>
      <c r="BD338" s="16"/>
      <c r="BE338" s="16"/>
      <c r="BF338" s="16"/>
      <c r="BG338" s="16"/>
      <c r="BH338" s="16"/>
      <c r="BI338"/>
      <c r="BJ338"/>
      <c r="BK338"/>
      <c r="BL338"/>
      <c r="BM338"/>
      <c r="BN338"/>
      <c r="BO338"/>
      <c r="BP338"/>
      <c r="BQ338" s="55"/>
      <c r="BR338"/>
      <c r="BS338"/>
      <c r="BT338"/>
      <c r="BU338"/>
      <c r="BV338"/>
      <c r="BW338"/>
      <c r="BX338"/>
      <c r="BY338"/>
      <c r="BZ338"/>
      <c r="CA338"/>
      <c r="CB338"/>
      <c r="CC338"/>
      <c r="CD338"/>
      <c r="CE338"/>
      <c r="CF338"/>
      <c r="CH338" s="55"/>
      <c r="CI338"/>
      <c r="CJ338" s="16"/>
      <c r="CK338" s="16"/>
      <c r="CL338" s="28"/>
      <c r="CM338" s="28"/>
      <c r="CN338" s="28"/>
      <c r="CO338" s="28"/>
      <c r="CP338" s="28"/>
      <c r="CQ338" s="28"/>
      <c r="CR338" s="28"/>
      <c r="CS338" s="28"/>
      <c r="CT338" s="28"/>
      <c r="CU338" s="28"/>
      <c r="CV338" s="28"/>
      <c r="CW338" s="28"/>
      <c r="CX338" s="28"/>
      <c r="CY338" s="28"/>
      <c r="CZ338" s="28"/>
      <c r="DA338" s="28"/>
      <c r="DB338" s="28"/>
      <c r="DC338" s="28"/>
      <c r="DD338" s="28"/>
      <c r="DF338" s="55"/>
      <c r="DX338" s="28"/>
    </row>
    <row r="339" spans="1:128" s="19" customFormat="1" ht="16" customHeight="1">
      <c r="A339" s="18"/>
      <c r="B339" s="17"/>
      <c r="C339" s="16"/>
      <c r="D339" s="16"/>
      <c r="E339" s="16"/>
      <c r="F339" s="16"/>
      <c r="G339" s="16"/>
      <c r="H339" s="20"/>
      <c r="I339" s="20"/>
      <c r="J339" s="20"/>
      <c r="K339" s="20"/>
      <c r="L339" s="20"/>
      <c r="M339" s="20"/>
      <c r="N339" s="20"/>
      <c r="O339" s="20"/>
      <c r="P339" s="20"/>
      <c r="Q339" s="20"/>
      <c r="R339" s="20"/>
      <c r="S339" s="20"/>
      <c r="T339"/>
      <c r="U339"/>
      <c r="V339"/>
      <c r="W339"/>
      <c r="X339"/>
      <c r="Y339"/>
      <c r="Z339" s="16"/>
      <c r="AA339" s="16"/>
      <c r="AB339" s="55"/>
      <c r="AC339"/>
      <c r="AD339"/>
      <c r="AE339"/>
      <c r="AF339"/>
      <c r="AG339"/>
      <c r="AH339"/>
      <c r="AI339"/>
      <c r="AJ339"/>
      <c r="AK339"/>
      <c r="AL339"/>
      <c r="AM339"/>
      <c r="AN339"/>
      <c r="AO339"/>
      <c r="AP339"/>
      <c r="AQ339"/>
      <c r="AS339" s="55"/>
      <c r="AT339"/>
      <c r="AU339" s="41"/>
      <c r="AV339" s="16"/>
      <c r="AW339" s="16"/>
      <c r="AX339" s="16"/>
      <c r="AY339" s="16"/>
      <c r="AZ339" s="16"/>
      <c r="BA339" s="16"/>
      <c r="BB339" s="16"/>
      <c r="BC339" s="16"/>
      <c r="BD339" s="16"/>
      <c r="BE339" s="16"/>
      <c r="BF339" s="16"/>
      <c r="BG339" s="16"/>
      <c r="BH339" s="16"/>
      <c r="BI339"/>
      <c r="BJ339"/>
      <c r="BK339"/>
      <c r="BL339"/>
      <c r="BM339"/>
      <c r="BN339"/>
      <c r="BO339"/>
      <c r="BP339"/>
      <c r="BQ339" s="55"/>
      <c r="BR339"/>
      <c r="BS339"/>
      <c r="BT339"/>
      <c r="BU339"/>
      <c r="BV339"/>
      <c r="BW339"/>
      <c r="BX339"/>
      <c r="BY339"/>
      <c r="BZ339"/>
      <c r="CA339"/>
      <c r="CB339"/>
      <c r="CC339"/>
      <c r="CD339"/>
      <c r="CE339"/>
      <c r="CF339"/>
      <c r="CH339" s="55"/>
      <c r="CI339"/>
      <c r="CJ339" s="16"/>
      <c r="CK339" s="16"/>
      <c r="CL339" s="28"/>
      <c r="CM339" s="28"/>
      <c r="CN339" s="28"/>
      <c r="CO339" s="28"/>
      <c r="CP339" s="28"/>
      <c r="CQ339" s="28"/>
      <c r="CR339" s="28"/>
      <c r="CS339" s="28"/>
      <c r="CT339" s="28"/>
      <c r="CU339" s="28"/>
      <c r="CV339" s="28"/>
      <c r="CW339" s="28"/>
      <c r="CX339" s="28"/>
      <c r="CY339" s="28"/>
      <c r="CZ339" s="28"/>
      <c r="DA339" s="28"/>
      <c r="DB339" s="28"/>
      <c r="DC339" s="28"/>
      <c r="DD339" s="28"/>
      <c r="DF339" s="55"/>
      <c r="DX339" s="28"/>
    </row>
    <row r="340" spans="1:128" s="19" customFormat="1" ht="16" customHeight="1">
      <c r="A340" s="18"/>
      <c r="B340" s="17"/>
      <c r="C340" s="16"/>
      <c r="D340" s="16"/>
      <c r="E340" s="16"/>
      <c r="F340" s="16"/>
      <c r="G340" s="16"/>
      <c r="H340" s="20"/>
      <c r="I340" s="20"/>
      <c r="J340" s="20"/>
      <c r="K340" s="20"/>
      <c r="L340" s="20"/>
      <c r="M340" s="20"/>
      <c r="N340" s="20"/>
      <c r="O340" s="20"/>
      <c r="P340" s="20"/>
      <c r="Q340" s="20"/>
      <c r="R340" s="20"/>
      <c r="S340" s="20"/>
      <c r="T340"/>
      <c r="U340"/>
      <c r="V340"/>
      <c r="W340"/>
      <c r="X340"/>
      <c r="Y340"/>
      <c r="Z340" s="16"/>
      <c r="AA340" s="16"/>
      <c r="AB340" s="55"/>
      <c r="AC340"/>
      <c r="AD340"/>
      <c r="AE340"/>
      <c r="AF340"/>
      <c r="AG340"/>
      <c r="AH340"/>
      <c r="AI340"/>
      <c r="AJ340"/>
      <c r="AK340"/>
      <c r="AL340"/>
      <c r="AM340"/>
      <c r="AN340"/>
      <c r="AO340"/>
      <c r="AP340"/>
      <c r="AQ340"/>
      <c r="AS340" s="55"/>
      <c r="AT340"/>
      <c r="AU340" s="41"/>
      <c r="AV340" s="16"/>
      <c r="AW340" s="16"/>
      <c r="AX340" s="16"/>
      <c r="AY340" s="16"/>
      <c r="AZ340" s="16"/>
      <c r="BA340" s="16"/>
      <c r="BB340" s="16"/>
      <c r="BC340" s="16"/>
      <c r="BD340" s="16"/>
      <c r="BE340" s="16"/>
      <c r="BF340" s="16"/>
      <c r="BG340" s="16"/>
      <c r="BH340" s="16"/>
      <c r="BI340"/>
      <c r="BJ340"/>
      <c r="BK340"/>
      <c r="BL340"/>
      <c r="BM340"/>
      <c r="BN340"/>
      <c r="BO340"/>
      <c r="BP340"/>
      <c r="BQ340" s="55"/>
      <c r="BR340"/>
      <c r="BS340"/>
      <c r="BT340"/>
      <c r="BU340"/>
      <c r="BV340"/>
      <c r="BW340"/>
      <c r="BX340"/>
      <c r="BY340"/>
      <c r="BZ340"/>
      <c r="CA340"/>
      <c r="CB340"/>
      <c r="CC340"/>
      <c r="CD340"/>
      <c r="CE340"/>
      <c r="CF340"/>
      <c r="CH340" s="55"/>
      <c r="CI340"/>
      <c r="CJ340" s="16"/>
      <c r="CK340" s="16"/>
      <c r="CL340" s="28"/>
      <c r="CM340" s="28"/>
      <c r="CN340" s="28"/>
      <c r="CO340" s="28"/>
      <c r="CP340" s="28"/>
      <c r="CQ340" s="28"/>
      <c r="CR340" s="28"/>
      <c r="CS340" s="28"/>
      <c r="CT340" s="28"/>
      <c r="CU340" s="28"/>
      <c r="CV340" s="28"/>
      <c r="CW340" s="28"/>
      <c r="CX340" s="28"/>
      <c r="CY340" s="28"/>
      <c r="CZ340" s="28"/>
      <c r="DA340" s="28"/>
      <c r="DB340" s="28"/>
      <c r="DC340" s="28"/>
      <c r="DD340" s="28"/>
      <c r="DF340" s="55"/>
      <c r="DX340" s="28"/>
    </row>
    <row r="341" spans="1:128" s="19" customFormat="1" ht="16" customHeight="1">
      <c r="A341" s="18"/>
      <c r="B341" s="17"/>
      <c r="C341" s="16"/>
      <c r="D341" s="16"/>
      <c r="E341" s="16"/>
      <c r="F341" s="16"/>
      <c r="G341" s="16"/>
      <c r="H341" s="20"/>
      <c r="I341" s="20"/>
      <c r="J341" s="20"/>
      <c r="K341" s="20"/>
      <c r="L341" s="20"/>
      <c r="M341" s="20"/>
      <c r="N341" s="20"/>
      <c r="O341" s="20"/>
      <c r="P341" s="20"/>
      <c r="Q341" s="20"/>
      <c r="R341" s="20"/>
      <c r="S341" s="20"/>
      <c r="T341"/>
      <c r="U341"/>
      <c r="V341"/>
      <c r="W341"/>
      <c r="X341"/>
      <c r="Y341"/>
      <c r="Z341" s="16"/>
      <c r="AA341" s="16"/>
      <c r="AB341" s="55"/>
      <c r="AC341"/>
      <c r="AD341"/>
      <c r="AE341"/>
      <c r="AF341"/>
      <c r="AG341"/>
      <c r="AH341"/>
      <c r="AI341"/>
      <c r="AJ341"/>
      <c r="AK341"/>
      <c r="AL341"/>
      <c r="AM341"/>
      <c r="AN341"/>
      <c r="AO341"/>
      <c r="AP341"/>
      <c r="AQ341"/>
      <c r="AS341" s="55"/>
      <c r="AT341"/>
      <c r="AU341" s="41"/>
      <c r="AV341" s="16"/>
      <c r="AW341" s="16"/>
      <c r="AX341" s="16"/>
      <c r="AY341" s="16"/>
      <c r="AZ341" s="16"/>
      <c r="BA341" s="16"/>
      <c r="BB341" s="16"/>
      <c r="BC341" s="16"/>
      <c r="BD341" s="16"/>
      <c r="BE341" s="16"/>
      <c r="BF341" s="16"/>
      <c r="BG341" s="16"/>
      <c r="BH341" s="16"/>
      <c r="BI341"/>
      <c r="BJ341"/>
      <c r="BK341"/>
      <c r="BL341"/>
      <c r="BM341"/>
      <c r="BN341"/>
      <c r="BO341"/>
      <c r="BP341"/>
      <c r="BQ341" s="55"/>
      <c r="BR341"/>
      <c r="BS341"/>
      <c r="BT341"/>
      <c r="BU341"/>
      <c r="BV341"/>
      <c r="BW341"/>
      <c r="BX341"/>
      <c r="BY341"/>
      <c r="BZ341"/>
      <c r="CA341"/>
      <c r="CB341"/>
      <c r="CC341"/>
      <c r="CD341"/>
      <c r="CE341"/>
      <c r="CF341"/>
      <c r="CH341" s="55"/>
      <c r="CI341"/>
      <c r="CJ341" s="16"/>
      <c r="CK341" s="16"/>
      <c r="CL341" s="28"/>
      <c r="CM341" s="28"/>
      <c r="CN341" s="28"/>
      <c r="CO341" s="28"/>
      <c r="CP341" s="28"/>
      <c r="CQ341" s="28"/>
      <c r="CR341" s="28"/>
      <c r="CS341" s="28"/>
      <c r="CT341" s="28"/>
      <c r="CU341" s="28"/>
      <c r="CV341" s="28"/>
      <c r="CW341" s="28"/>
      <c r="CX341" s="28"/>
      <c r="CY341" s="28"/>
      <c r="CZ341" s="28"/>
      <c r="DA341" s="28"/>
      <c r="DB341" s="28"/>
      <c r="DC341" s="28"/>
      <c r="DD341" s="28"/>
      <c r="DF341" s="55"/>
      <c r="DX341" s="28"/>
    </row>
    <row r="342" spans="1:128" s="19" customFormat="1" ht="16" customHeight="1">
      <c r="A342" s="18"/>
      <c r="B342" s="17"/>
      <c r="C342" s="16"/>
      <c r="D342" s="16"/>
      <c r="E342" s="16"/>
      <c r="F342" s="16"/>
      <c r="G342" s="16"/>
      <c r="H342" s="20"/>
      <c r="I342" s="20"/>
      <c r="J342" s="20"/>
      <c r="K342" s="20"/>
      <c r="L342" s="20"/>
      <c r="M342" s="20"/>
      <c r="N342" s="20"/>
      <c r="O342" s="20"/>
      <c r="P342" s="20"/>
      <c r="Q342" s="20"/>
      <c r="R342" s="20"/>
      <c r="S342" s="20"/>
      <c r="T342"/>
      <c r="U342"/>
      <c r="V342"/>
      <c r="W342"/>
      <c r="X342"/>
      <c r="Y342"/>
      <c r="Z342" s="16"/>
      <c r="AA342" s="16"/>
      <c r="AB342" s="55"/>
      <c r="AC342"/>
      <c r="AD342"/>
      <c r="AE342"/>
      <c r="AF342"/>
      <c r="AG342"/>
      <c r="AH342"/>
      <c r="AI342"/>
      <c r="AJ342"/>
      <c r="AK342"/>
      <c r="AL342"/>
      <c r="AM342"/>
      <c r="AN342"/>
      <c r="AO342"/>
      <c r="AP342"/>
      <c r="AQ342"/>
      <c r="AS342" s="55"/>
      <c r="AT342"/>
      <c r="AU342" s="41"/>
      <c r="AV342" s="16"/>
      <c r="AW342" s="16"/>
      <c r="AX342" s="16"/>
      <c r="AY342" s="16"/>
      <c r="AZ342" s="16"/>
      <c r="BA342" s="16"/>
      <c r="BB342" s="16"/>
      <c r="BC342" s="16"/>
      <c r="BD342" s="16"/>
      <c r="BE342" s="16"/>
      <c r="BF342" s="16"/>
      <c r="BG342" s="16"/>
      <c r="BH342" s="16"/>
      <c r="BI342"/>
      <c r="BJ342"/>
      <c r="BK342"/>
      <c r="BL342"/>
      <c r="BM342"/>
      <c r="BN342"/>
      <c r="BO342"/>
      <c r="BP342"/>
      <c r="BQ342" s="55"/>
      <c r="BR342"/>
      <c r="BS342"/>
      <c r="BT342"/>
      <c r="BU342"/>
      <c r="BV342"/>
      <c r="BW342"/>
      <c r="BX342"/>
      <c r="BY342"/>
      <c r="BZ342"/>
      <c r="CA342"/>
      <c r="CB342"/>
      <c r="CC342"/>
      <c r="CD342"/>
      <c r="CE342"/>
      <c r="CF342"/>
      <c r="CH342" s="55"/>
      <c r="CI342"/>
      <c r="CJ342" s="16"/>
      <c r="CK342" s="16"/>
      <c r="CL342" s="28"/>
      <c r="CM342" s="28"/>
      <c r="CN342" s="28"/>
      <c r="CO342" s="28"/>
      <c r="CP342" s="28"/>
      <c r="CQ342" s="28"/>
      <c r="CR342" s="28"/>
      <c r="CS342" s="28"/>
      <c r="CT342" s="28"/>
      <c r="CU342" s="28"/>
      <c r="CV342" s="28"/>
      <c r="CW342" s="28"/>
      <c r="CX342" s="28"/>
      <c r="CY342" s="28"/>
      <c r="CZ342" s="28"/>
      <c r="DA342" s="28"/>
      <c r="DB342" s="28"/>
      <c r="DC342" s="28"/>
      <c r="DD342" s="28"/>
      <c r="DF342" s="55"/>
      <c r="DX342" s="28"/>
    </row>
    <row r="343" spans="1:128" s="19" customFormat="1" ht="16" customHeight="1">
      <c r="A343" s="18"/>
      <c r="B343" s="17"/>
      <c r="C343" s="16"/>
      <c r="D343" s="16"/>
      <c r="E343" s="16"/>
      <c r="F343" s="16"/>
      <c r="G343" s="16"/>
      <c r="H343" s="20"/>
      <c r="I343" s="20"/>
      <c r="J343" s="20"/>
      <c r="K343" s="20"/>
      <c r="L343" s="20"/>
      <c r="M343" s="20"/>
      <c r="N343" s="20"/>
      <c r="O343" s="20"/>
      <c r="P343" s="20"/>
      <c r="Q343" s="20"/>
      <c r="R343" s="20"/>
      <c r="S343" s="20"/>
      <c r="T343"/>
      <c r="U343"/>
      <c r="V343"/>
      <c r="W343"/>
      <c r="X343"/>
      <c r="Y343"/>
      <c r="Z343" s="16"/>
      <c r="AA343" s="16"/>
      <c r="AB343" s="55"/>
      <c r="AC343"/>
      <c r="AD343"/>
      <c r="AE343"/>
      <c r="AF343"/>
      <c r="AG343"/>
      <c r="AH343"/>
      <c r="AI343"/>
      <c r="AJ343"/>
      <c r="AK343"/>
      <c r="AL343"/>
      <c r="AM343"/>
      <c r="AN343"/>
      <c r="AO343"/>
      <c r="AP343"/>
      <c r="AQ343"/>
      <c r="AS343" s="55"/>
      <c r="AT343"/>
      <c r="AU343" s="41"/>
      <c r="AV343" s="16"/>
      <c r="AW343" s="16"/>
      <c r="AX343" s="16"/>
      <c r="AY343" s="16"/>
      <c r="AZ343" s="16"/>
      <c r="BA343" s="16"/>
      <c r="BB343" s="16"/>
      <c r="BC343" s="16"/>
      <c r="BD343" s="16"/>
      <c r="BE343" s="16"/>
      <c r="BF343" s="16"/>
      <c r="BG343" s="16"/>
      <c r="BH343" s="16"/>
      <c r="BI343"/>
      <c r="BJ343"/>
      <c r="BK343"/>
      <c r="BL343"/>
      <c r="BM343"/>
      <c r="BN343"/>
      <c r="BO343"/>
      <c r="BP343"/>
      <c r="BQ343" s="55"/>
      <c r="BR343"/>
      <c r="BS343"/>
      <c r="BT343"/>
      <c r="BU343"/>
      <c r="BV343"/>
      <c r="BW343"/>
      <c r="BX343"/>
      <c r="BY343"/>
      <c r="BZ343"/>
      <c r="CA343"/>
      <c r="CB343"/>
      <c r="CC343"/>
      <c r="CD343"/>
      <c r="CE343"/>
      <c r="CF343"/>
      <c r="CH343" s="55"/>
      <c r="CI343"/>
      <c r="CJ343" s="16"/>
      <c r="CK343" s="16"/>
      <c r="CL343" s="28"/>
      <c r="CM343" s="28"/>
      <c r="CN343" s="28"/>
      <c r="CO343" s="28"/>
      <c r="CP343" s="28"/>
      <c r="CQ343" s="28"/>
      <c r="CR343" s="28"/>
      <c r="CS343" s="28"/>
      <c r="CT343" s="28"/>
      <c r="CU343" s="28"/>
      <c r="CV343" s="28"/>
      <c r="CW343" s="28"/>
      <c r="CX343" s="28"/>
      <c r="CY343" s="28"/>
      <c r="CZ343" s="28"/>
      <c r="DA343" s="28"/>
      <c r="DB343" s="28"/>
      <c r="DC343" s="28"/>
      <c r="DD343" s="28"/>
      <c r="DF343" s="55"/>
      <c r="DX343" s="28"/>
    </row>
    <row r="344" spans="1:128" s="19" customFormat="1" ht="16" customHeight="1">
      <c r="A344" s="18"/>
      <c r="B344" s="17"/>
      <c r="C344" s="16"/>
      <c r="D344" s="16"/>
      <c r="E344" s="16"/>
      <c r="F344" s="16"/>
      <c r="G344" s="16"/>
      <c r="H344" s="20"/>
      <c r="I344" s="20"/>
      <c r="J344" s="20"/>
      <c r="K344" s="20"/>
      <c r="L344" s="20"/>
      <c r="M344" s="20"/>
      <c r="N344" s="20"/>
      <c r="O344" s="20"/>
      <c r="P344" s="20"/>
      <c r="Q344" s="20"/>
      <c r="R344" s="20"/>
      <c r="S344" s="20"/>
      <c r="T344"/>
      <c r="U344"/>
      <c r="V344"/>
      <c r="W344"/>
      <c r="X344"/>
      <c r="Y344"/>
      <c r="Z344" s="16"/>
      <c r="AA344" s="16"/>
      <c r="AB344" s="55"/>
      <c r="AC344"/>
      <c r="AD344"/>
      <c r="AE344"/>
      <c r="AF344"/>
      <c r="AG344"/>
      <c r="AH344"/>
      <c r="AI344"/>
      <c r="AJ344"/>
      <c r="AK344"/>
      <c r="AL344"/>
      <c r="AM344"/>
      <c r="AN344"/>
      <c r="AO344"/>
      <c r="AP344"/>
      <c r="AQ344"/>
      <c r="AS344" s="55"/>
      <c r="AT344"/>
      <c r="AU344" s="41"/>
      <c r="AV344" s="16"/>
      <c r="AW344" s="16"/>
      <c r="AX344" s="16"/>
      <c r="AY344" s="16"/>
      <c r="AZ344" s="16"/>
      <c r="BA344" s="16"/>
      <c r="BB344" s="16"/>
      <c r="BC344" s="16"/>
      <c r="BD344" s="16"/>
      <c r="BE344" s="16"/>
      <c r="BF344" s="16"/>
      <c r="BG344" s="16"/>
      <c r="BH344" s="16"/>
      <c r="BI344"/>
      <c r="BJ344"/>
      <c r="BK344"/>
      <c r="BL344"/>
      <c r="BM344"/>
      <c r="BN344"/>
      <c r="BO344"/>
      <c r="BP344"/>
      <c r="BQ344" s="55"/>
      <c r="BR344"/>
      <c r="BS344"/>
      <c r="BT344"/>
      <c r="BU344"/>
      <c r="BV344"/>
      <c r="BW344"/>
      <c r="BX344"/>
      <c r="BY344"/>
      <c r="BZ344"/>
      <c r="CA344"/>
      <c r="CB344"/>
      <c r="CC344"/>
      <c r="CD344"/>
      <c r="CE344"/>
      <c r="CF344"/>
      <c r="CH344" s="55"/>
      <c r="CI344"/>
      <c r="CJ344" s="16"/>
      <c r="CK344" s="16"/>
      <c r="CL344" s="28"/>
      <c r="CM344" s="28"/>
      <c r="CN344" s="28"/>
      <c r="CO344" s="28"/>
      <c r="CP344" s="28"/>
      <c r="CQ344" s="28"/>
      <c r="CR344" s="28"/>
      <c r="CS344" s="28"/>
      <c r="CT344" s="28"/>
      <c r="CU344" s="28"/>
      <c r="CV344" s="28"/>
      <c r="CW344" s="28"/>
      <c r="CX344" s="28"/>
      <c r="CY344" s="28"/>
      <c r="CZ344" s="28"/>
      <c r="DA344" s="28"/>
      <c r="DB344" s="28"/>
      <c r="DC344" s="28"/>
      <c r="DD344" s="28"/>
      <c r="DF344" s="55"/>
      <c r="DX344" s="28"/>
    </row>
    <row r="345" spans="1:128" s="19" customFormat="1" ht="16" customHeight="1">
      <c r="A345" s="18"/>
      <c r="B345" s="17"/>
      <c r="C345" s="16"/>
      <c r="D345" s="16"/>
      <c r="E345" s="16"/>
      <c r="F345" s="16"/>
      <c r="G345" s="16"/>
      <c r="H345" s="20"/>
      <c r="I345" s="20"/>
      <c r="J345" s="20"/>
      <c r="K345" s="20"/>
      <c r="L345" s="20"/>
      <c r="M345" s="20"/>
      <c r="N345" s="20"/>
      <c r="O345" s="20"/>
      <c r="P345" s="20"/>
      <c r="Q345" s="20"/>
      <c r="R345" s="20"/>
      <c r="S345" s="20"/>
      <c r="T345"/>
      <c r="U345"/>
      <c r="V345"/>
      <c r="W345"/>
      <c r="X345"/>
      <c r="Y345"/>
      <c r="Z345" s="16"/>
      <c r="AA345" s="16"/>
      <c r="AB345" s="55"/>
      <c r="AC345"/>
      <c r="AD345"/>
      <c r="AE345"/>
      <c r="AF345"/>
      <c r="AG345"/>
      <c r="AH345"/>
      <c r="AI345"/>
      <c r="AJ345"/>
      <c r="AK345"/>
      <c r="AL345"/>
      <c r="AM345"/>
      <c r="AN345"/>
      <c r="AO345"/>
      <c r="AP345"/>
      <c r="AQ345"/>
      <c r="AS345" s="55"/>
      <c r="AT345"/>
      <c r="AU345" s="41"/>
      <c r="AV345" s="16"/>
      <c r="AW345" s="16"/>
      <c r="AX345" s="16"/>
      <c r="AY345" s="16"/>
      <c r="AZ345" s="16"/>
      <c r="BA345" s="16"/>
      <c r="BB345" s="16"/>
      <c r="BC345" s="16"/>
      <c r="BD345" s="16"/>
      <c r="BE345" s="16"/>
      <c r="BF345" s="16"/>
      <c r="BG345" s="16"/>
      <c r="BH345" s="16"/>
      <c r="BI345"/>
      <c r="BJ345"/>
      <c r="BK345"/>
      <c r="BL345"/>
      <c r="BM345"/>
      <c r="BN345"/>
      <c r="BO345"/>
      <c r="BP345"/>
      <c r="BQ345" s="55"/>
      <c r="BR345"/>
      <c r="BS345"/>
      <c r="BT345"/>
      <c r="BU345"/>
      <c r="BV345"/>
      <c r="BW345"/>
      <c r="BX345"/>
      <c r="BY345"/>
      <c r="BZ345"/>
      <c r="CA345"/>
      <c r="CB345"/>
      <c r="CC345"/>
      <c r="CD345"/>
      <c r="CE345"/>
      <c r="CF345"/>
      <c r="CH345" s="55"/>
      <c r="CI345"/>
      <c r="CJ345" s="16"/>
      <c r="CK345" s="16"/>
      <c r="CL345" s="28"/>
      <c r="CM345" s="28"/>
      <c r="CN345" s="28"/>
      <c r="CO345" s="28"/>
      <c r="CP345" s="28"/>
      <c r="CQ345" s="28"/>
      <c r="CR345" s="28"/>
      <c r="CS345" s="28"/>
      <c r="CT345" s="28"/>
      <c r="CU345" s="28"/>
      <c r="CV345" s="28"/>
      <c r="CW345" s="28"/>
      <c r="CX345" s="28"/>
      <c r="CY345" s="28"/>
      <c r="CZ345" s="28"/>
      <c r="DA345" s="28"/>
      <c r="DB345" s="28"/>
      <c r="DC345" s="28"/>
      <c r="DD345" s="28"/>
      <c r="DF345" s="55"/>
      <c r="DX345" s="28"/>
    </row>
    <row r="346" spans="1:128" s="19" customFormat="1" ht="16" customHeight="1">
      <c r="A346" s="18"/>
      <c r="B346" s="17"/>
      <c r="C346" s="16"/>
      <c r="D346" s="16"/>
      <c r="E346" s="16"/>
      <c r="F346" s="16"/>
      <c r="G346" s="16"/>
      <c r="H346" s="20"/>
      <c r="I346" s="20"/>
      <c r="J346" s="20"/>
      <c r="K346" s="20"/>
      <c r="L346" s="20"/>
      <c r="M346" s="20"/>
      <c r="N346" s="20"/>
      <c r="O346" s="20"/>
      <c r="P346" s="20"/>
      <c r="Q346" s="20"/>
      <c r="R346" s="20"/>
      <c r="S346" s="20"/>
      <c r="T346"/>
      <c r="U346"/>
      <c r="V346"/>
      <c r="W346"/>
      <c r="X346"/>
      <c r="Y346"/>
      <c r="Z346" s="16"/>
      <c r="AA346" s="16"/>
      <c r="AB346" s="55"/>
      <c r="AC346"/>
      <c r="AD346"/>
      <c r="AE346"/>
      <c r="AF346"/>
      <c r="AG346"/>
      <c r="AH346"/>
      <c r="AI346"/>
      <c r="AJ346"/>
      <c r="AK346"/>
      <c r="AL346"/>
      <c r="AM346"/>
      <c r="AN346"/>
      <c r="AO346"/>
      <c r="AP346"/>
      <c r="AQ346"/>
      <c r="AS346" s="55"/>
      <c r="AT346"/>
      <c r="AU346" s="41"/>
      <c r="AV346" s="16"/>
      <c r="AW346" s="16"/>
      <c r="AX346" s="16"/>
      <c r="AY346" s="16"/>
      <c r="AZ346" s="16"/>
      <c r="BA346" s="16"/>
      <c r="BB346" s="16"/>
      <c r="BC346" s="16"/>
      <c r="BD346" s="16"/>
      <c r="BE346" s="16"/>
      <c r="BF346" s="16"/>
      <c r="BG346" s="16"/>
      <c r="BH346" s="16"/>
      <c r="BI346"/>
      <c r="BJ346"/>
      <c r="BK346"/>
      <c r="BL346"/>
      <c r="BM346"/>
      <c r="BN346"/>
      <c r="BO346"/>
      <c r="BP346"/>
      <c r="BQ346" s="55"/>
      <c r="BR346"/>
      <c r="BS346"/>
      <c r="BT346"/>
      <c r="BU346"/>
      <c r="BV346"/>
      <c r="BW346"/>
      <c r="BX346"/>
      <c r="BY346"/>
      <c r="BZ346"/>
      <c r="CA346"/>
      <c r="CB346"/>
      <c r="CC346"/>
      <c r="CD346"/>
      <c r="CE346"/>
      <c r="CF346"/>
      <c r="CH346" s="55"/>
      <c r="CI346"/>
      <c r="CJ346" s="16"/>
      <c r="CK346" s="16"/>
      <c r="CL346" s="28"/>
      <c r="CM346" s="28"/>
      <c r="CN346" s="28"/>
      <c r="CO346" s="28"/>
      <c r="CP346" s="28"/>
      <c r="CQ346" s="28"/>
      <c r="CR346" s="28"/>
      <c r="CS346" s="28"/>
      <c r="CT346" s="28"/>
      <c r="CU346" s="28"/>
      <c r="CV346" s="28"/>
      <c r="CW346" s="28"/>
      <c r="CX346" s="28"/>
      <c r="CY346" s="28"/>
      <c r="CZ346" s="28"/>
      <c r="DA346" s="28"/>
      <c r="DB346" s="28"/>
      <c r="DC346" s="28"/>
      <c r="DD346" s="28"/>
      <c r="DF346" s="55"/>
      <c r="DX346" s="28"/>
    </row>
    <row r="347" spans="1:128" s="19" customFormat="1" ht="16" customHeight="1">
      <c r="A347" s="18"/>
      <c r="B347" s="17"/>
      <c r="C347" s="16"/>
      <c r="D347" s="16"/>
      <c r="E347" s="16"/>
      <c r="F347" s="16"/>
      <c r="G347" s="16"/>
      <c r="H347" s="20"/>
      <c r="I347" s="20"/>
      <c r="J347" s="20"/>
      <c r="K347" s="20"/>
      <c r="L347" s="20"/>
      <c r="M347" s="20"/>
      <c r="N347" s="20"/>
      <c r="O347" s="20"/>
      <c r="P347" s="20"/>
      <c r="Q347" s="20"/>
      <c r="R347" s="20"/>
      <c r="S347" s="20"/>
      <c r="T347"/>
      <c r="U347"/>
      <c r="V347"/>
      <c r="W347"/>
      <c r="X347"/>
      <c r="Y347"/>
      <c r="Z347" s="16"/>
      <c r="AA347" s="16"/>
      <c r="AB347" s="55"/>
      <c r="AC347"/>
      <c r="AD347"/>
      <c r="AE347"/>
      <c r="AF347"/>
      <c r="AG347"/>
      <c r="AH347"/>
      <c r="AI347"/>
      <c r="AJ347"/>
      <c r="AK347"/>
      <c r="AL347"/>
      <c r="AM347"/>
      <c r="AN347"/>
      <c r="AO347"/>
      <c r="AP347"/>
      <c r="AQ347"/>
      <c r="AS347" s="55"/>
      <c r="AT347"/>
      <c r="AU347" s="41"/>
      <c r="AV347" s="16"/>
      <c r="AW347" s="16"/>
      <c r="AX347" s="16"/>
      <c r="AY347" s="16"/>
      <c r="AZ347" s="16"/>
      <c r="BA347" s="16"/>
      <c r="BB347" s="16"/>
      <c r="BC347" s="16"/>
      <c r="BD347" s="16"/>
      <c r="BE347" s="16"/>
      <c r="BF347" s="16"/>
      <c r="BG347" s="16"/>
      <c r="BH347" s="16"/>
      <c r="BI347"/>
      <c r="BJ347"/>
      <c r="BK347"/>
      <c r="BL347"/>
      <c r="BM347"/>
      <c r="BN347"/>
      <c r="BO347"/>
      <c r="BP347"/>
      <c r="BQ347" s="55"/>
      <c r="BR347"/>
      <c r="BS347"/>
      <c r="BT347"/>
      <c r="BU347"/>
      <c r="BV347"/>
      <c r="BW347"/>
      <c r="BX347"/>
      <c r="BY347"/>
      <c r="BZ347"/>
      <c r="CA347"/>
      <c r="CB347"/>
      <c r="CC347"/>
      <c r="CD347"/>
      <c r="CE347"/>
      <c r="CF347"/>
      <c r="CH347" s="55"/>
      <c r="CI347"/>
      <c r="CJ347" s="16"/>
      <c r="CK347" s="16"/>
      <c r="CL347" s="28"/>
      <c r="CM347" s="28"/>
      <c r="CN347" s="28"/>
      <c r="CO347" s="28"/>
      <c r="CP347" s="28"/>
      <c r="CQ347" s="28"/>
      <c r="CR347" s="28"/>
      <c r="CS347" s="28"/>
      <c r="CT347" s="28"/>
      <c r="CU347" s="28"/>
      <c r="CV347" s="28"/>
      <c r="CW347" s="28"/>
      <c r="CX347" s="28"/>
      <c r="CY347" s="28"/>
      <c r="CZ347" s="28"/>
      <c r="DA347" s="28"/>
      <c r="DB347" s="28"/>
      <c r="DC347" s="28"/>
      <c r="DD347" s="28"/>
      <c r="DF347" s="55"/>
      <c r="DX347" s="28"/>
    </row>
    <row r="348" spans="1:128" s="19" customFormat="1" ht="16" customHeight="1">
      <c r="A348" s="18"/>
      <c r="B348" s="17"/>
      <c r="C348" s="16"/>
      <c r="D348" s="16"/>
      <c r="E348" s="16"/>
      <c r="F348" s="16"/>
      <c r="G348" s="16"/>
      <c r="H348" s="20"/>
      <c r="I348" s="20"/>
      <c r="J348" s="20"/>
      <c r="K348" s="20"/>
      <c r="L348" s="20"/>
      <c r="M348" s="20"/>
      <c r="N348" s="20"/>
      <c r="O348" s="20"/>
      <c r="P348" s="20"/>
      <c r="Q348" s="20"/>
      <c r="R348" s="20"/>
      <c r="S348" s="20"/>
      <c r="T348"/>
      <c r="U348"/>
      <c r="V348"/>
      <c r="W348"/>
      <c r="X348"/>
      <c r="Y348"/>
      <c r="Z348" s="16"/>
      <c r="AA348" s="16"/>
      <c r="AB348" s="55"/>
      <c r="AC348"/>
      <c r="AD348"/>
      <c r="AE348"/>
      <c r="AF348"/>
      <c r="AG348"/>
      <c r="AH348"/>
      <c r="AI348"/>
      <c r="AJ348"/>
      <c r="AK348"/>
      <c r="AL348"/>
      <c r="AM348"/>
      <c r="AN348"/>
      <c r="AO348"/>
      <c r="AP348"/>
      <c r="AQ348"/>
      <c r="AS348" s="55"/>
      <c r="AT348"/>
      <c r="AU348" s="41"/>
      <c r="AV348" s="16"/>
      <c r="AW348" s="16"/>
      <c r="AX348" s="16"/>
      <c r="AY348" s="16"/>
      <c r="AZ348" s="16"/>
      <c r="BA348" s="16"/>
      <c r="BB348" s="16"/>
      <c r="BC348" s="16"/>
      <c r="BD348" s="16"/>
      <c r="BE348" s="16"/>
      <c r="BF348" s="16"/>
      <c r="BG348" s="16"/>
      <c r="BH348" s="16"/>
      <c r="BI348"/>
      <c r="BJ348"/>
      <c r="BK348"/>
      <c r="BL348"/>
      <c r="BM348"/>
      <c r="BN348"/>
      <c r="BO348"/>
      <c r="BP348"/>
      <c r="BQ348" s="55"/>
      <c r="BR348"/>
      <c r="BS348"/>
      <c r="BT348"/>
      <c r="BU348"/>
      <c r="BV348"/>
      <c r="BW348"/>
      <c r="BX348"/>
      <c r="BY348"/>
      <c r="BZ348"/>
      <c r="CA348"/>
      <c r="CB348"/>
      <c r="CC348"/>
      <c r="CD348"/>
      <c r="CE348"/>
      <c r="CF348"/>
      <c r="CH348" s="55"/>
      <c r="CI348"/>
      <c r="CJ348" s="16"/>
      <c r="CK348" s="16"/>
      <c r="CL348" s="28"/>
      <c r="CM348" s="28"/>
      <c r="CN348" s="28"/>
      <c r="CO348" s="28"/>
      <c r="CP348" s="28"/>
      <c r="CQ348" s="28"/>
      <c r="CR348" s="28"/>
      <c r="CS348" s="28"/>
      <c r="CT348" s="28"/>
      <c r="CU348" s="28"/>
      <c r="CV348" s="28"/>
      <c r="CW348" s="28"/>
      <c r="CX348" s="28"/>
      <c r="CY348" s="28"/>
      <c r="CZ348" s="28"/>
      <c r="DA348" s="28"/>
      <c r="DB348" s="28"/>
      <c r="DC348" s="28"/>
      <c r="DD348" s="28"/>
      <c r="DF348" s="55"/>
      <c r="DX348" s="28"/>
    </row>
    <row r="349" spans="1:128" s="19" customFormat="1" ht="16" customHeight="1">
      <c r="A349" s="18"/>
      <c r="B349" s="17"/>
      <c r="C349" s="16"/>
      <c r="D349" s="16"/>
      <c r="E349" s="16"/>
      <c r="F349" s="16"/>
      <c r="G349" s="16"/>
      <c r="H349" s="20"/>
      <c r="I349" s="20"/>
      <c r="J349" s="20"/>
      <c r="K349" s="20"/>
      <c r="L349" s="20"/>
      <c r="M349" s="20"/>
      <c r="N349" s="20"/>
      <c r="O349" s="20"/>
      <c r="P349" s="20"/>
      <c r="Q349" s="20"/>
      <c r="R349" s="20"/>
      <c r="S349" s="20"/>
      <c r="T349"/>
      <c r="U349"/>
      <c r="V349"/>
      <c r="W349"/>
      <c r="X349"/>
      <c r="Y349"/>
      <c r="Z349" s="16"/>
      <c r="AA349" s="16"/>
      <c r="AB349" s="55"/>
      <c r="AC349"/>
      <c r="AD349"/>
      <c r="AE349"/>
      <c r="AF349"/>
      <c r="AG349"/>
      <c r="AH349"/>
      <c r="AI349"/>
      <c r="AJ349"/>
      <c r="AK349"/>
      <c r="AL349"/>
      <c r="AM349"/>
      <c r="AN349"/>
      <c r="AO349"/>
      <c r="AP349"/>
      <c r="AQ349"/>
      <c r="AS349" s="55"/>
      <c r="AT349"/>
      <c r="AU349" s="41"/>
      <c r="AV349" s="16"/>
      <c r="AW349" s="16"/>
      <c r="AX349" s="16"/>
      <c r="AY349" s="16"/>
      <c r="AZ349" s="16"/>
      <c r="BA349" s="16"/>
      <c r="BB349" s="16"/>
      <c r="BC349" s="16"/>
      <c r="BD349" s="16"/>
      <c r="BE349" s="16"/>
      <c r="BF349" s="16"/>
      <c r="BG349" s="16"/>
      <c r="BH349" s="16"/>
      <c r="BI349"/>
      <c r="BJ349"/>
      <c r="BK349"/>
      <c r="BL349"/>
      <c r="BM349"/>
      <c r="BN349"/>
      <c r="BO349"/>
      <c r="BP349"/>
      <c r="BQ349" s="55"/>
      <c r="BR349"/>
      <c r="BS349"/>
      <c r="BT349"/>
      <c r="BU349"/>
      <c r="BV349"/>
      <c r="BW349"/>
      <c r="BX349"/>
      <c r="BY349"/>
      <c r="BZ349"/>
      <c r="CA349"/>
      <c r="CB349"/>
      <c r="CC349"/>
      <c r="CD349"/>
      <c r="CE349"/>
      <c r="CF349"/>
      <c r="CH349" s="55"/>
      <c r="CI349"/>
      <c r="CJ349" s="16"/>
      <c r="CK349" s="16"/>
      <c r="CL349" s="28"/>
      <c r="CM349" s="28"/>
      <c r="CN349" s="28"/>
      <c r="CO349" s="28"/>
      <c r="CP349" s="28"/>
      <c r="CQ349" s="28"/>
      <c r="CR349" s="28"/>
      <c r="CS349" s="28"/>
      <c r="CT349" s="28"/>
      <c r="CU349" s="28"/>
      <c r="CV349" s="28"/>
      <c r="CW349" s="28"/>
      <c r="CX349" s="28"/>
      <c r="CY349" s="28"/>
      <c r="CZ349" s="28"/>
      <c r="DA349" s="28"/>
      <c r="DB349" s="28"/>
      <c r="DC349" s="28"/>
      <c r="DD349" s="28"/>
      <c r="DF349" s="55"/>
      <c r="DX349" s="28"/>
    </row>
    <row r="350" spans="1:128" s="19" customFormat="1" ht="16" customHeight="1">
      <c r="A350" s="18"/>
      <c r="B350" s="17"/>
      <c r="C350" s="16"/>
      <c r="D350" s="16"/>
      <c r="E350" s="16"/>
      <c r="F350" s="16"/>
      <c r="G350" s="16"/>
      <c r="H350" s="20"/>
      <c r="I350" s="20"/>
      <c r="J350" s="20"/>
      <c r="K350" s="20"/>
      <c r="L350" s="20"/>
      <c r="M350" s="20"/>
      <c r="N350" s="20"/>
      <c r="O350" s="20"/>
      <c r="P350" s="20"/>
      <c r="Q350" s="20"/>
      <c r="R350" s="20"/>
      <c r="S350" s="20"/>
      <c r="T350"/>
      <c r="U350"/>
      <c r="V350"/>
      <c r="W350"/>
      <c r="X350"/>
      <c r="Y350"/>
      <c r="Z350" s="16"/>
      <c r="AA350" s="16"/>
      <c r="AB350" s="55"/>
      <c r="AC350"/>
      <c r="AD350"/>
      <c r="AE350"/>
      <c r="AF350"/>
      <c r="AG350"/>
      <c r="AH350"/>
      <c r="AI350"/>
      <c r="AJ350"/>
      <c r="AK350"/>
      <c r="AL350"/>
      <c r="AM350"/>
      <c r="AN350"/>
      <c r="AO350"/>
      <c r="AP350"/>
      <c r="AQ350"/>
      <c r="AS350" s="55"/>
      <c r="AT350"/>
      <c r="AU350" s="41"/>
      <c r="AV350" s="16"/>
      <c r="AW350" s="16"/>
      <c r="AX350" s="16"/>
      <c r="AY350" s="16"/>
      <c r="AZ350" s="16"/>
      <c r="BA350" s="16"/>
      <c r="BB350" s="16"/>
      <c r="BC350" s="16"/>
      <c r="BD350" s="16"/>
      <c r="BE350" s="16"/>
      <c r="BF350" s="16"/>
      <c r="BG350" s="16"/>
      <c r="BH350" s="16"/>
      <c r="BI350"/>
      <c r="BJ350"/>
      <c r="BK350"/>
      <c r="BL350"/>
      <c r="BM350"/>
      <c r="BN350"/>
      <c r="BO350"/>
      <c r="BP350"/>
      <c r="BQ350" s="55"/>
      <c r="BR350"/>
      <c r="BS350"/>
      <c r="BT350"/>
      <c r="BU350"/>
      <c r="BV350"/>
      <c r="BW350"/>
      <c r="BX350"/>
      <c r="BY350"/>
      <c r="BZ350"/>
      <c r="CA350"/>
      <c r="CB350"/>
      <c r="CC350"/>
      <c r="CD350"/>
      <c r="CE350"/>
      <c r="CF350"/>
      <c r="CH350" s="55"/>
      <c r="CI350"/>
      <c r="CJ350" s="16"/>
      <c r="CK350" s="16"/>
      <c r="CL350" s="28"/>
      <c r="CM350" s="28"/>
      <c r="CN350" s="28"/>
      <c r="CO350" s="28"/>
      <c r="CP350" s="28"/>
      <c r="CQ350" s="28"/>
      <c r="CR350" s="28"/>
      <c r="CS350" s="28"/>
      <c r="CT350" s="28"/>
      <c r="CU350" s="28"/>
      <c r="CV350" s="28"/>
      <c r="CW350" s="28"/>
      <c r="CX350" s="28"/>
      <c r="CY350" s="28"/>
      <c r="CZ350" s="28"/>
      <c r="DA350" s="28"/>
      <c r="DB350" s="28"/>
      <c r="DC350" s="28"/>
      <c r="DD350" s="28"/>
      <c r="DF350" s="55"/>
      <c r="DX350" s="28"/>
    </row>
    <row r="351" spans="1:128" s="19" customFormat="1" ht="16" customHeight="1">
      <c r="A351" s="18"/>
      <c r="B351" s="17"/>
      <c r="C351" s="16"/>
      <c r="D351" s="16"/>
      <c r="E351" s="16"/>
      <c r="F351" s="16"/>
      <c r="G351" s="16"/>
      <c r="H351" s="20"/>
      <c r="I351" s="20"/>
      <c r="J351" s="20"/>
      <c r="K351" s="20"/>
      <c r="L351" s="20"/>
      <c r="M351" s="20"/>
      <c r="N351" s="20"/>
      <c r="O351" s="20"/>
      <c r="P351" s="20"/>
      <c r="Q351" s="20"/>
      <c r="R351" s="20"/>
      <c r="S351" s="20"/>
      <c r="T351"/>
      <c r="U351"/>
      <c r="V351"/>
      <c r="W351"/>
      <c r="X351"/>
      <c r="Y351"/>
      <c r="Z351" s="16"/>
      <c r="AA351" s="16"/>
      <c r="AB351" s="55"/>
      <c r="AC351"/>
      <c r="AD351"/>
      <c r="AE351"/>
      <c r="AF351"/>
      <c r="AG351"/>
      <c r="AH351"/>
      <c r="AI351"/>
      <c r="AJ351"/>
      <c r="AK351"/>
      <c r="AL351"/>
      <c r="AM351"/>
      <c r="AN351"/>
      <c r="AO351"/>
      <c r="AP351"/>
      <c r="AQ351"/>
      <c r="AS351" s="55"/>
      <c r="AT351"/>
      <c r="AU351" s="41"/>
      <c r="AV351" s="16"/>
      <c r="AW351" s="16"/>
      <c r="AX351" s="16"/>
      <c r="AY351" s="16"/>
      <c r="AZ351" s="16"/>
      <c r="BA351" s="16"/>
      <c r="BB351" s="16"/>
      <c r="BC351" s="16"/>
      <c r="BD351" s="16"/>
      <c r="BE351" s="16"/>
      <c r="BF351" s="16"/>
      <c r="BG351" s="16"/>
      <c r="BH351" s="16"/>
      <c r="BI351"/>
      <c r="BJ351"/>
      <c r="BK351"/>
      <c r="BL351"/>
      <c r="BM351"/>
      <c r="BN351"/>
      <c r="BO351"/>
      <c r="BP351"/>
      <c r="BQ351" s="55"/>
      <c r="BR351"/>
      <c r="BS351"/>
      <c r="BT351"/>
      <c r="BU351"/>
      <c r="BV351"/>
      <c r="BW351"/>
      <c r="BX351"/>
      <c r="BY351"/>
      <c r="BZ351"/>
      <c r="CA351"/>
      <c r="CB351"/>
      <c r="CC351"/>
      <c r="CD351"/>
      <c r="CE351"/>
      <c r="CF351"/>
      <c r="CH351" s="55"/>
      <c r="CI351"/>
      <c r="CJ351" s="16"/>
      <c r="CK351" s="16"/>
      <c r="CL351" s="28"/>
      <c r="CM351" s="28"/>
      <c r="CN351" s="28"/>
      <c r="CO351" s="28"/>
      <c r="CP351" s="28"/>
      <c r="CQ351" s="28"/>
      <c r="CR351" s="28"/>
      <c r="CS351" s="28"/>
      <c r="CT351" s="28"/>
      <c r="CU351" s="28"/>
      <c r="CV351" s="28"/>
      <c r="CW351" s="28"/>
      <c r="CX351" s="28"/>
      <c r="CY351" s="28"/>
      <c r="CZ351" s="28"/>
      <c r="DA351" s="28"/>
      <c r="DB351" s="28"/>
      <c r="DC351" s="28"/>
      <c r="DD351" s="28"/>
      <c r="DF351" s="55"/>
      <c r="DX351" s="28"/>
    </row>
    <row r="352" spans="1:128" s="19" customFormat="1" ht="16" customHeight="1">
      <c r="A352" s="18"/>
      <c r="B352" s="17"/>
      <c r="C352" s="16"/>
      <c r="D352" s="16"/>
      <c r="E352" s="16"/>
      <c r="F352" s="16"/>
      <c r="G352" s="16"/>
      <c r="H352" s="20"/>
      <c r="I352" s="20"/>
      <c r="J352" s="20"/>
      <c r="K352" s="20"/>
      <c r="L352" s="20"/>
      <c r="M352" s="20"/>
      <c r="N352" s="20"/>
      <c r="O352" s="20"/>
      <c r="P352" s="20"/>
      <c r="Q352" s="20"/>
      <c r="R352" s="20"/>
      <c r="S352" s="20"/>
      <c r="T352"/>
      <c r="U352"/>
      <c r="V352"/>
      <c r="W352"/>
      <c r="X352"/>
      <c r="Y352"/>
      <c r="Z352" s="16"/>
      <c r="AA352" s="16"/>
      <c r="AB352" s="55"/>
      <c r="AC352"/>
      <c r="AD352"/>
      <c r="AE352"/>
      <c r="AF352"/>
      <c r="AG352"/>
      <c r="AH352"/>
      <c r="AI352"/>
      <c r="AJ352"/>
      <c r="AK352"/>
      <c r="AL352"/>
      <c r="AM352"/>
      <c r="AN352"/>
      <c r="AO352"/>
      <c r="AP352"/>
      <c r="AQ352"/>
      <c r="AS352" s="55"/>
      <c r="AT352"/>
      <c r="AU352" s="41"/>
      <c r="AV352" s="16"/>
      <c r="AW352" s="16"/>
      <c r="AX352" s="16"/>
      <c r="AY352" s="16"/>
      <c r="AZ352" s="16"/>
      <c r="BA352" s="16"/>
      <c r="BB352" s="16"/>
      <c r="BC352" s="16"/>
      <c r="BD352" s="16"/>
      <c r="BE352" s="16"/>
      <c r="BF352" s="16"/>
      <c r="BG352" s="16"/>
      <c r="BH352" s="16"/>
      <c r="BI352"/>
      <c r="BJ352"/>
      <c r="BK352"/>
      <c r="BL352"/>
      <c r="BM352"/>
      <c r="BN352"/>
      <c r="BO352"/>
      <c r="BP352"/>
      <c r="BQ352" s="55"/>
      <c r="BR352"/>
      <c r="BS352"/>
      <c r="BT352"/>
      <c r="BU352"/>
      <c r="BV352"/>
      <c r="BW352"/>
      <c r="BX352"/>
      <c r="BY352"/>
      <c r="BZ352"/>
      <c r="CA352"/>
      <c r="CB352"/>
      <c r="CC352"/>
      <c r="CD352"/>
      <c r="CE352"/>
      <c r="CF352"/>
      <c r="CH352" s="55"/>
      <c r="CI352"/>
      <c r="CJ352" s="16"/>
      <c r="CK352" s="16"/>
      <c r="CL352" s="28"/>
      <c r="CM352" s="28"/>
      <c r="CN352" s="28"/>
      <c r="CO352" s="28"/>
      <c r="CP352" s="28"/>
      <c r="CQ352" s="28"/>
      <c r="CR352" s="28"/>
      <c r="CS352" s="28"/>
      <c r="CT352" s="28"/>
      <c r="CU352" s="28"/>
      <c r="CV352" s="28"/>
      <c r="CW352" s="28"/>
      <c r="CX352" s="28"/>
      <c r="CY352" s="28"/>
      <c r="CZ352" s="28"/>
      <c r="DA352" s="28"/>
      <c r="DB352" s="28"/>
      <c r="DC352" s="28"/>
      <c r="DD352" s="28"/>
      <c r="DF352" s="55"/>
      <c r="DX352" s="28"/>
    </row>
    <row r="353" spans="1:128" s="19" customFormat="1" ht="16" customHeight="1">
      <c r="A353" s="18"/>
      <c r="B353" s="17"/>
      <c r="C353" s="16"/>
      <c r="D353" s="16"/>
      <c r="E353" s="16"/>
      <c r="F353" s="16"/>
      <c r="G353" s="16"/>
      <c r="H353" s="20"/>
      <c r="I353" s="20"/>
      <c r="J353" s="20"/>
      <c r="K353" s="20"/>
      <c r="L353" s="20"/>
      <c r="M353" s="20"/>
      <c r="N353" s="20"/>
      <c r="O353" s="20"/>
      <c r="P353" s="20"/>
      <c r="Q353" s="20"/>
      <c r="R353" s="20"/>
      <c r="S353" s="20"/>
      <c r="T353"/>
      <c r="U353"/>
      <c r="V353"/>
      <c r="W353"/>
      <c r="X353"/>
      <c r="Y353"/>
      <c r="Z353" s="16"/>
      <c r="AA353" s="16"/>
      <c r="AB353" s="55"/>
      <c r="AC353"/>
      <c r="AD353"/>
      <c r="AE353"/>
      <c r="AF353"/>
      <c r="AG353"/>
      <c r="AH353"/>
      <c r="AI353"/>
      <c r="AJ353"/>
      <c r="AK353"/>
      <c r="AL353"/>
      <c r="AM353"/>
      <c r="AN353"/>
      <c r="AO353"/>
      <c r="AP353"/>
      <c r="AQ353"/>
      <c r="AS353" s="55"/>
      <c r="AT353"/>
      <c r="AU353" s="41"/>
      <c r="AV353" s="16"/>
      <c r="AW353" s="16"/>
      <c r="AX353" s="16"/>
      <c r="AY353" s="16"/>
      <c r="AZ353" s="16"/>
      <c r="BA353" s="16"/>
      <c r="BB353" s="16"/>
      <c r="BC353" s="16"/>
      <c r="BD353" s="16"/>
      <c r="BE353" s="16"/>
      <c r="BF353" s="16"/>
      <c r="BG353" s="16"/>
      <c r="BH353" s="16"/>
      <c r="BI353"/>
      <c r="BJ353"/>
      <c r="BK353"/>
      <c r="BL353"/>
      <c r="BM353"/>
      <c r="BN353"/>
      <c r="BO353"/>
      <c r="BP353"/>
      <c r="BQ353" s="55"/>
      <c r="BR353"/>
      <c r="BS353"/>
      <c r="BT353"/>
      <c r="BU353"/>
      <c r="BV353"/>
      <c r="BW353"/>
      <c r="BX353"/>
      <c r="BY353"/>
      <c r="BZ353"/>
      <c r="CA353"/>
      <c r="CB353"/>
      <c r="CC353"/>
      <c r="CD353"/>
      <c r="CE353"/>
      <c r="CF353"/>
      <c r="CH353" s="55"/>
      <c r="CI353"/>
      <c r="CJ353" s="16"/>
      <c r="CK353" s="16"/>
      <c r="CL353" s="28"/>
      <c r="CM353" s="28"/>
      <c r="CN353" s="28"/>
      <c r="CO353" s="28"/>
      <c r="CP353" s="28"/>
      <c r="CQ353" s="28"/>
      <c r="CR353" s="28"/>
      <c r="CS353" s="28"/>
      <c r="CT353" s="28"/>
      <c r="CU353" s="28"/>
      <c r="CV353" s="28"/>
      <c r="CW353" s="28"/>
      <c r="CX353" s="28"/>
      <c r="CY353" s="28"/>
      <c r="CZ353" s="28"/>
      <c r="DA353" s="28"/>
      <c r="DB353" s="28"/>
      <c r="DC353" s="28"/>
      <c r="DD353" s="28"/>
      <c r="DF353" s="55"/>
      <c r="DX353" s="28"/>
    </row>
    <row r="354" spans="1:128" s="19" customFormat="1" ht="16" customHeight="1">
      <c r="A354" s="18"/>
      <c r="B354" s="17"/>
      <c r="C354" s="16"/>
      <c r="D354" s="16"/>
      <c r="E354" s="16"/>
      <c r="F354" s="16"/>
      <c r="G354" s="16"/>
      <c r="H354" s="20"/>
      <c r="I354" s="20"/>
      <c r="J354" s="20"/>
      <c r="K354" s="20"/>
      <c r="L354" s="20"/>
      <c r="M354" s="20"/>
      <c r="N354" s="20"/>
      <c r="O354" s="20"/>
      <c r="P354" s="20"/>
      <c r="Q354" s="20"/>
      <c r="R354" s="20"/>
      <c r="S354" s="20"/>
      <c r="T354"/>
      <c r="U354"/>
      <c r="V354"/>
      <c r="W354"/>
      <c r="X354"/>
      <c r="Y354"/>
      <c r="Z354" s="16"/>
      <c r="AA354" s="16"/>
      <c r="AB354" s="55"/>
      <c r="AC354"/>
      <c r="AD354"/>
      <c r="AE354"/>
      <c r="AF354"/>
      <c r="AG354"/>
      <c r="AH354"/>
      <c r="AI354"/>
      <c r="AJ354"/>
      <c r="AK354"/>
      <c r="AL354"/>
      <c r="AM354"/>
      <c r="AN354"/>
      <c r="AO354"/>
      <c r="AP354"/>
      <c r="AQ354"/>
      <c r="AS354" s="55"/>
      <c r="AT354"/>
      <c r="AU354" s="41"/>
      <c r="AV354" s="16"/>
      <c r="AW354" s="16"/>
      <c r="AX354" s="16"/>
      <c r="AY354" s="16"/>
      <c r="AZ354" s="16"/>
      <c r="BA354" s="16"/>
      <c r="BB354" s="16"/>
      <c r="BC354" s="16"/>
      <c r="BD354" s="16"/>
      <c r="BE354" s="16"/>
      <c r="BF354" s="16"/>
      <c r="BG354" s="16"/>
      <c r="BH354" s="16"/>
      <c r="BI354"/>
      <c r="BJ354"/>
      <c r="BK354"/>
      <c r="BL354"/>
      <c r="BM354"/>
      <c r="BN354"/>
      <c r="BO354"/>
      <c r="BP354"/>
      <c r="BQ354" s="55"/>
      <c r="BR354"/>
      <c r="BS354"/>
      <c r="BT354"/>
      <c r="BU354"/>
      <c r="BV354"/>
      <c r="BW354"/>
      <c r="BX354"/>
      <c r="BY354"/>
      <c r="BZ354"/>
      <c r="CA354"/>
      <c r="CB354"/>
      <c r="CC354"/>
      <c r="CD354"/>
      <c r="CE354"/>
      <c r="CF354"/>
      <c r="CH354" s="55"/>
      <c r="CI354"/>
      <c r="CJ354" s="16"/>
      <c r="CK354" s="16"/>
      <c r="CL354" s="28"/>
      <c r="CM354" s="28"/>
      <c r="CN354" s="28"/>
      <c r="CO354" s="28"/>
      <c r="CP354" s="28"/>
      <c r="CQ354" s="28"/>
      <c r="CR354" s="28"/>
      <c r="CS354" s="28"/>
      <c r="CT354" s="28"/>
      <c r="CU354" s="28"/>
      <c r="CV354" s="28"/>
      <c r="CW354" s="28"/>
      <c r="CX354" s="28"/>
      <c r="CY354" s="28"/>
      <c r="CZ354" s="28"/>
      <c r="DA354" s="28"/>
      <c r="DB354" s="28"/>
      <c r="DC354" s="28"/>
      <c r="DD354" s="28"/>
      <c r="DF354" s="55"/>
      <c r="DX354" s="28"/>
    </row>
    <row r="355" spans="1:128" s="19" customFormat="1" ht="16" customHeight="1">
      <c r="A355" s="18"/>
      <c r="B355" s="17"/>
      <c r="C355" s="16"/>
      <c r="D355" s="16"/>
      <c r="E355" s="16"/>
      <c r="F355" s="16"/>
      <c r="G355" s="16"/>
      <c r="H355" s="20"/>
      <c r="I355" s="20"/>
      <c r="J355" s="20"/>
      <c r="K355" s="20"/>
      <c r="L355" s="20"/>
      <c r="M355" s="20"/>
      <c r="N355" s="20"/>
      <c r="O355" s="20"/>
      <c r="P355" s="20"/>
      <c r="Q355" s="20"/>
      <c r="R355" s="20"/>
      <c r="S355" s="20"/>
      <c r="T355"/>
      <c r="U355"/>
      <c r="V355"/>
      <c r="W355"/>
      <c r="X355"/>
      <c r="Y355"/>
      <c r="Z355" s="16"/>
      <c r="AA355" s="16"/>
      <c r="AB355" s="55"/>
      <c r="AC355"/>
      <c r="AD355"/>
      <c r="AE355"/>
      <c r="AF355"/>
      <c r="AG355"/>
      <c r="AH355"/>
      <c r="AI355"/>
      <c r="AJ355"/>
      <c r="AK355"/>
      <c r="AL355"/>
      <c r="AM355"/>
      <c r="AN355"/>
      <c r="AO355"/>
      <c r="AP355"/>
      <c r="AQ355"/>
      <c r="AS355" s="55"/>
      <c r="AT355"/>
      <c r="AU355" s="41"/>
      <c r="AV355" s="16"/>
      <c r="AW355" s="16"/>
      <c r="AX355" s="16"/>
      <c r="AY355" s="16"/>
      <c r="AZ355" s="16"/>
      <c r="BA355" s="16"/>
      <c r="BB355" s="16"/>
      <c r="BC355" s="16"/>
      <c r="BD355" s="16"/>
      <c r="BE355" s="16"/>
      <c r="BF355" s="16"/>
      <c r="BG355" s="16"/>
      <c r="BH355" s="16"/>
      <c r="BI355"/>
      <c r="BJ355"/>
      <c r="BK355"/>
      <c r="BL355"/>
      <c r="BM355"/>
      <c r="BN355"/>
      <c r="BO355"/>
      <c r="BP355"/>
      <c r="BQ355" s="55"/>
      <c r="BR355"/>
      <c r="BS355"/>
      <c r="BT355"/>
      <c r="BU355"/>
      <c r="BV355"/>
      <c r="BW355"/>
      <c r="BX355"/>
      <c r="BY355"/>
      <c r="BZ355"/>
      <c r="CA355"/>
      <c r="CB355"/>
      <c r="CC355"/>
      <c r="CD355"/>
      <c r="CE355"/>
      <c r="CF355"/>
      <c r="CH355" s="55"/>
      <c r="CI355"/>
      <c r="CJ355" s="16"/>
      <c r="CK355" s="16"/>
      <c r="CL355" s="28"/>
      <c r="CM355" s="28"/>
      <c r="CN355" s="28"/>
      <c r="CO355" s="28"/>
      <c r="CP355" s="28"/>
      <c r="CQ355" s="28"/>
      <c r="CR355" s="28"/>
      <c r="CS355" s="28"/>
      <c r="CT355" s="28"/>
      <c r="CU355" s="28"/>
      <c r="CV355" s="28"/>
      <c r="CW355" s="28"/>
      <c r="CX355" s="28"/>
      <c r="CY355" s="28"/>
      <c r="CZ355" s="28"/>
      <c r="DA355" s="28"/>
      <c r="DB355" s="28"/>
      <c r="DC355" s="28"/>
      <c r="DD355" s="28"/>
      <c r="DF355" s="55"/>
      <c r="DX355" s="28"/>
    </row>
    <row r="356" spans="1:128" s="19" customFormat="1" ht="16" customHeight="1">
      <c r="A356" s="18"/>
      <c r="B356" s="17"/>
      <c r="C356" s="16"/>
      <c r="D356" s="16"/>
      <c r="E356" s="16"/>
      <c r="F356" s="16"/>
      <c r="G356" s="16"/>
      <c r="H356" s="20"/>
      <c r="I356" s="20"/>
      <c r="J356" s="20"/>
      <c r="K356" s="20"/>
      <c r="L356" s="20"/>
      <c r="M356" s="20"/>
      <c r="N356" s="20"/>
      <c r="O356" s="20"/>
      <c r="P356" s="20"/>
      <c r="Q356" s="20"/>
      <c r="R356" s="20"/>
      <c r="S356" s="20"/>
      <c r="T356"/>
      <c r="U356"/>
      <c r="V356"/>
      <c r="W356"/>
      <c r="X356"/>
      <c r="Y356"/>
      <c r="Z356" s="16"/>
      <c r="AA356" s="16"/>
      <c r="AB356" s="55"/>
      <c r="AC356"/>
      <c r="AD356"/>
      <c r="AE356"/>
      <c r="AF356"/>
      <c r="AG356"/>
      <c r="AH356"/>
      <c r="AI356"/>
      <c r="AJ356"/>
      <c r="AK356"/>
      <c r="AL356"/>
      <c r="AM356"/>
      <c r="AN356"/>
      <c r="AO356"/>
      <c r="AP356"/>
      <c r="AQ356"/>
      <c r="AS356" s="55"/>
      <c r="AT356"/>
      <c r="AU356" s="41"/>
      <c r="AV356" s="16"/>
      <c r="AW356" s="16"/>
      <c r="AX356" s="16"/>
      <c r="AY356" s="16"/>
      <c r="AZ356" s="16"/>
      <c r="BA356" s="16"/>
      <c r="BB356" s="16"/>
      <c r="BC356" s="16"/>
      <c r="BD356" s="16"/>
      <c r="BE356" s="16"/>
      <c r="BF356" s="16"/>
      <c r="BG356" s="16"/>
      <c r="BH356" s="16"/>
      <c r="BI356"/>
      <c r="BJ356"/>
      <c r="BK356"/>
      <c r="BL356"/>
      <c r="BM356"/>
      <c r="BN356"/>
      <c r="BO356"/>
      <c r="BP356"/>
      <c r="BQ356" s="55"/>
      <c r="BR356"/>
      <c r="BS356"/>
      <c r="BT356"/>
      <c r="BU356"/>
      <c r="BV356"/>
      <c r="BW356"/>
      <c r="BX356"/>
      <c r="BY356"/>
      <c r="BZ356"/>
      <c r="CA356"/>
      <c r="CB356"/>
      <c r="CC356"/>
      <c r="CD356"/>
      <c r="CE356"/>
      <c r="CF356"/>
      <c r="CH356" s="55"/>
      <c r="CI356"/>
      <c r="CJ356" s="16"/>
      <c r="CK356" s="16"/>
      <c r="CL356" s="28"/>
      <c r="CM356" s="28"/>
      <c r="CN356" s="28"/>
      <c r="CO356" s="28"/>
      <c r="CP356" s="28"/>
      <c r="CQ356" s="28"/>
      <c r="CR356" s="28"/>
      <c r="CS356" s="28"/>
      <c r="CT356" s="28"/>
      <c r="CU356" s="28"/>
      <c r="CV356" s="28"/>
      <c r="CW356" s="28"/>
      <c r="CX356" s="28"/>
      <c r="CY356" s="28"/>
      <c r="CZ356" s="28"/>
      <c r="DA356" s="28"/>
      <c r="DB356" s="28"/>
      <c r="DC356" s="28"/>
      <c r="DD356" s="28"/>
      <c r="DF356" s="55"/>
      <c r="DX356" s="28"/>
    </row>
    <row r="357" spans="1:128" s="19" customFormat="1" ht="16" customHeight="1">
      <c r="A357" s="18"/>
      <c r="B357" s="17"/>
      <c r="C357" s="16"/>
      <c r="D357" s="16"/>
      <c r="E357" s="16"/>
      <c r="F357" s="16"/>
      <c r="G357" s="16"/>
      <c r="H357" s="20"/>
      <c r="I357" s="20"/>
      <c r="J357" s="20"/>
      <c r="K357" s="20"/>
      <c r="L357" s="20"/>
      <c r="M357" s="20"/>
      <c r="N357" s="20"/>
      <c r="O357" s="20"/>
      <c r="P357" s="20"/>
      <c r="Q357" s="20"/>
      <c r="R357" s="20"/>
      <c r="S357" s="20"/>
      <c r="T357"/>
      <c r="U357"/>
      <c r="V357"/>
      <c r="W357"/>
      <c r="X357"/>
      <c r="Y357"/>
      <c r="Z357" s="16"/>
      <c r="AA357" s="16"/>
      <c r="AB357" s="55"/>
      <c r="AC357"/>
      <c r="AD357"/>
      <c r="AE357"/>
      <c r="AF357"/>
      <c r="AG357"/>
      <c r="AH357"/>
      <c r="AI357"/>
      <c r="AJ357"/>
      <c r="AK357"/>
      <c r="AL357"/>
      <c r="AM357"/>
      <c r="AN357"/>
      <c r="AO357"/>
      <c r="AP357"/>
      <c r="AQ357"/>
      <c r="AS357" s="55"/>
      <c r="AT357"/>
      <c r="AU357" s="41"/>
      <c r="AV357" s="16"/>
      <c r="AW357" s="16"/>
      <c r="AX357" s="16"/>
      <c r="AY357" s="16"/>
      <c r="AZ357" s="16"/>
      <c r="BA357" s="16"/>
      <c r="BB357" s="16"/>
      <c r="BC357" s="16"/>
      <c r="BD357" s="16"/>
      <c r="BE357" s="16"/>
      <c r="BF357" s="16"/>
      <c r="BG357" s="16"/>
      <c r="BH357" s="16"/>
      <c r="BI357"/>
      <c r="BJ357"/>
      <c r="BK357"/>
      <c r="BL357"/>
      <c r="BM357"/>
      <c r="BN357"/>
      <c r="BO357"/>
      <c r="BP357"/>
      <c r="BQ357" s="55"/>
      <c r="BR357"/>
      <c r="BS357"/>
      <c r="BT357"/>
      <c r="BU357"/>
      <c r="BV357"/>
      <c r="BW357"/>
      <c r="BX357"/>
      <c r="BY357"/>
      <c r="BZ357"/>
      <c r="CA357"/>
      <c r="CB357"/>
      <c r="CC357"/>
      <c r="CD357"/>
      <c r="CE357"/>
      <c r="CF357"/>
      <c r="CH357" s="55"/>
      <c r="CI357"/>
      <c r="CJ357" s="16"/>
      <c r="CK357" s="16"/>
      <c r="CL357" s="28"/>
      <c r="CM357" s="28"/>
      <c r="CN357" s="28"/>
      <c r="CO357" s="28"/>
      <c r="CP357" s="28"/>
      <c r="CQ357" s="28"/>
      <c r="CR357" s="28"/>
      <c r="CS357" s="28"/>
      <c r="CT357" s="28"/>
      <c r="CU357" s="28"/>
      <c r="CV357" s="28"/>
      <c r="CW357" s="28"/>
      <c r="CX357" s="28"/>
      <c r="CY357" s="28"/>
      <c r="CZ357" s="28"/>
      <c r="DA357" s="28"/>
      <c r="DB357" s="28"/>
      <c r="DC357" s="28"/>
      <c r="DD357" s="28"/>
      <c r="DF357" s="55"/>
      <c r="DX357" s="28"/>
    </row>
    <row r="358" spans="1:128" s="19" customFormat="1" ht="16" customHeight="1">
      <c r="A358" s="18"/>
      <c r="B358" s="17"/>
      <c r="C358" s="16"/>
      <c r="D358" s="16"/>
      <c r="E358" s="16"/>
      <c r="F358" s="16"/>
      <c r="G358" s="16"/>
      <c r="H358" s="20"/>
      <c r="I358" s="20"/>
      <c r="J358" s="20"/>
      <c r="K358" s="20"/>
      <c r="L358" s="20"/>
      <c r="M358" s="20"/>
      <c r="N358" s="20"/>
      <c r="O358" s="20"/>
      <c r="P358" s="20"/>
      <c r="Q358" s="20"/>
      <c r="R358" s="20"/>
      <c r="S358" s="20"/>
      <c r="T358"/>
      <c r="U358"/>
      <c r="V358"/>
      <c r="W358"/>
      <c r="X358"/>
      <c r="Y358"/>
      <c r="Z358" s="16"/>
      <c r="AA358" s="16"/>
      <c r="AB358" s="55"/>
      <c r="AC358"/>
      <c r="AD358"/>
      <c r="AE358"/>
      <c r="AF358"/>
      <c r="AG358"/>
      <c r="AH358"/>
      <c r="AI358"/>
      <c r="AJ358"/>
      <c r="AK358"/>
      <c r="AL358"/>
      <c r="AM358"/>
      <c r="AN358"/>
      <c r="AO358"/>
      <c r="AP358"/>
      <c r="AQ358"/>
      <c r="AS358" s="55"/>
      <c r="AT358"/>
      <c r="AU358" s="41"/>
      <c r="AV358" s="16"/>
      <c r="AW358" s="16"/>
      <c r="AX358" s="16"/>
      <c r="AY358" s="16"/>
      <c r="AZ358" s="16"/>
      <c r="BA358" s="16"/>
      <c r="BB358" s="16"/>
      <c r="BC358" s="16"/>
      <c r="BD358" s="16"/>
      <c r="BE358" s="16"/>
      <c r="BF358" s="16"/>
      <c r="BG358" s="16"/>
      <c r="BH358" s="16"/>
      <c r="BI358"/>
      <c r="BJ358"/>
      <c r="BK358"/>
      <c r="BL358"/>
      <c r="BM358"/>
      <c r="BN358"/>
      <c r="BO358"/>
      <c r="BP358"/>
      <c r="BQ358" s="55"/>
      <c r="BR358"/>
      <c r="BS358"/>
      <c r="BT358"/>
      <c r="BU358"/>
      <c r="BV358"/>
      <c r="BW358"/>
      <c r="BX358"/>
      <c r="BY358"/>
      <c r="BZ358"/>
      <c r="CA358"/>
      <c r="CB358"/>
      <c r="CC358"/>
      <c r="CD358"/>
      <c r="CE358"/>
      <c r="CF358"/>
      <c r="CH358" s="55"/>
      <c r="CI358"/>
      <c r="CJ358" s="16"/>
      <c r="CK358" s="16"/>
      <c r="CL358" s="28"/>
      <c r="CM358" s="28"/>
      <c r="CN358" s="28"/>
      <c r="CO358" s="28"/>
      <c r="CP358" s="28"/>
      <c r="CQ358" s="28"/>
      <c r="CR358" s="28"/>
      <c r="CS358" s="28"/>
      <c r="CT358" s="28"/>
      <c r="CU358" s="28"/>
      <c r="CV358" s="28"/>
      <c r="CW358" s="28"/>
      <c r="CX358" s="28"/>
      <c r="CY358" s="28"/>
      <c r="CZ358" s="28"/>
      <c r="DA358" s="28"/>
      <c r="DB358" s="28"/>
      <c r="DC358" s="28"/>
      <c r="DD358" s="28"/>
      <c r="DF358" s="55"/>
      <c r="DX358" s="28"/>
    </row>
    <row r="359" spans="1:128" s="19" customFormat="1" ht="16" customHeight="1">
      <c r="A359" s="18"/>
      <c r="B359" s="17"/>
      <c r="C359" s="16"/>
      <c r="D359" s="16"/>
      <c r="E359" s="16"/>
      <c r="F359" s="16"/>
      <c r="G359" s="16"/>
      <c r="H359" s="20"/>
      <c r="I359" s="20"/>
      <c r="J359" s="20"/>
      <c r="K359" s="20"/>
      <c r="L359" s="20"/>
      <c r="M359" s="20"/>
      <c r="N359" s="20"/>
      <c r="O359" s="20"/>
      <c r="P359" s="20"/>
      <c r="Q359" s="20"/>
      <c r="R359" s="20"/>
      <c r="S359" s="20"/>
      <c r="T359"/>
      <c r="U359"/>
      <c r="V359"/>
      <c r="W359"/>
      <c r="X359"/>
      <c r="Y359"/>
      <c r="Z359" s="16"/>
      <c r="AA359" s="16"/>
      <c r="AB359" s="55"/>
      <c r="AC359"/>
      <c r="AD359"/>
      <c r="AE359"/>
      <c r="AF359"/>
      <c r="AG359"/>
      <c r="AH359"/>
      <c r="AI359"/>
      <c r="AJ359"/>
      <c r="AK359"/>
      <c r="AL359"/>
      <c r="AM359"/>
      <c r="AN359"/>
      <c r="AO359"/>
      <c r="AP359"/>
      <c r="AQ359"/>
      <c r="AS359" s="55"/>
      <c r="AT359"/>
      <c r="AU359" s="41"/>
      <c r="AV359" s="16"/>
      <c r="AW359" s="16"/>
      <c r="AX359" s="16"/>
      <c r="AY359" s="16"/>
      <c r="AZ359" s="16"/>
      <c r="BA359" s="16"/>
      <c r="BB359" s="16"/>
      <c r="BC359" s="16"/>
      <c r="BD359" s="16"/>
      <c r="BE359" s="16"/>
      <c r="BF359" s="16"/>
      <c r="BG359" s="16"/>
      <c r="BH359" s="16"/>
      <c r="BI359"/>
      <c r="BJ359"/>
      <c r="BK359"/>
      <c r="BL359"/>
      <c r="BM359"/>
      <c r="BN359"/>
      <c r="BO359"/>
      <c r="BP359"/>
      <c r="BQ359" s="55"/>
      <c r="BR359"/>
      <c r="BS359"/>
      <c r="BT359"/>
      <c r="BU359"/>
      <c r="BV359"/>
      <c r="BW359"/>
      <c r="BX359"/>
      <c r="BY359"/>
      <c r="BZ359"/>
      <c r="CA359"/>
      <c r="CB359"/>
      <c r="CC359"/>
      <c r="CD359"/>
      <c r="CE359"/>
      <c r="CF359"/>
      <c r="CH359" s="55"/>
      <c r="CI359"/>
      <c r="CJ359" s="16"/>
      <c r="CK359" s="16"/>
      <c r="CL359" s="28"/>
      <c r="CM359" s="28"/>
      <c r="CN359" s="28"/>
      <c r="CO359" s="28"/>
      <c r="CP359" s="28"/>
      <c r="CQ359" s="28"/>
      <c r="CR359" s="28"/>
      <c r="CS359" s="28"/>
      <c r="CT359" s="28"/>
      <c r="CU359" s="28"/>
      <c r="CV359" s="28"/>
      <c r="CW359" s="28"/>
      <c r="CX359" s="28"/>
      <c r="CY359" s="28"/>
      <c r="CZ359" s="28"/>
      <c r="DA359" s="28"/>
      <c r="DB359" s="28"/>
      <c r="DC359" s="28"/>
      <c r="DD359" s="28"/>
      <c r="DF359" s="55"/>
      <c r="DX359" s="28"/>
    </row>
    <row r="360" spans="1:128" s="19" customFormat="1" ht="16" customHeight="1">
      <c r="A360" s="18"/>
      <c r="B360" s="17"/>
      <c r="C360" s="16"/>
      <c r="D360" s="16"/>
      <c r="E360" s="16"/>
      <c r="F360" s="16"/>
      <c r="G360" s="16"/>
      <c r="H360" s="20"/>
      <c r="I360" s="20"/>
      <c r="J360" s="20"/>
      <c r="K360" s="20"/>
      <c r="L360" s="20"/>
      <c r="M360" s="20"/>
      <c r="N360" s="20"/>
      <c r="O360" s="20"/>
      <c r="P360" s="20"/>
      <c r="Q360" s="20"/>
      <c r="R360" s="20"/>
      <c r="S360" s="20"/>
      <c r="T360"/>
      <c r="U360"/>
      <c r="V360"/>
      <c r="W360"/>
      <c r="X360"/>
      <c r="Y360"/>
      <c r="Z360" s="16"/>
      <c r="AA360" s="16"/>
      <c r="AB360" s="55"/>
      <c r="AC360"/>
      <c r="AD360"/>
      <c r="AE360"/>
      <c r="AF360"/>
      <c r="AG360"/>
      <c r="AH360"/>
      <c r="AI360"/>
      <c r="AJ360"/>
      <c r="AK360"/>
      <c r="AL360"/>
      <c r="AM360"/>
      <c r="AN360"/>
      <c r="AO360"/>
      <c r="AP360"/>
      <c r="AQ360"/>
      <c r="AS360" s="55"/>
      <c r="AT360"/>
      <c r="AU360" s="41"/>
      <c r="AV360" s="16"/>
      <c r="AW360" s="16"/>
      <c r="AX360" s="16"/>
      <c r="AY360" s="16"/>
      <c r="AZ360" s="16"/>
      <c r="BA360" s="16"/>
      <c r="BB360" s="16"/>
      <c r="BC360" s="16"/>
      <c r="BD360" s="16"/>
      <c r="BE360" s="16"/>
      <c r="BF360" s="16"/>
      <c r="BG360" s="16"/>
      <c r="BH360" s="16"/>
      <c r="BI360"/>
      <c r="BJ360"/>
      <c r="BK360"/>
      <c r="BL360"/>
      <c r="BM360"/>
      <c r="BN360"/>
      <c r="BO360"/>
      <c r="BP360"/>
      <c r="BQ360" s="55"/>
      <c r="BR360"/>
      <c r="BS360"/>
      <c r="BT360"/>
      <c r="BU360"/>
      <c r="BV360"/>
      <c r="BW360"/>
      <c r="BX360"/>
      <c r="BY360"/>
      <c r="BZ360"/>
      <c r="CA360"/>
      <c r="CB360"/>
      <c r="CC360"/>
      <c r="CD360"/>
      <c r="CE360"/>
      <c r="CF360"/>
      <c r="CH360" s="55"/>
      <c r="CI360"/>
      <c r="CJ360" s="16"/>
      <c r="CK360" s="16"/>
      <c r="CL360" s="28"/>
      <c r="CM360" s="28"/>
      <c r="CN360" s="28"/>
      <c r="CO360" s="28"/>
      <c r="CP360" s="28"/>
      <c r="CQ360" s="28"/>
      <c r="CR360" s="28"/>
      <c r="CS360" s="28"/>
      <c r="CT360" s="28"/>
      <c r="CU360" s="28"/>
      <c r="CV360" s="28"/>
      <c r="CW360" s="28"/>
      <c r="CX360" s="28"/>
      <c r="CY360" s="28"/>
      <c r="CZ360" s="28"/>
      <c r="DA360" s="28"/>
      <c r="DB360" s="28"/>
      <c r="DC360" s="28"/>
      <c r="DD360" s="28"/>
      <c r="DF360" s="55"/>
      <c r="DX360" s="28"/>
    </row>
    <row r="361" spans="1:128" s="19" customFormat="1" ht="16" customHeight="1">
      <c r="A361" s="18"/>
      <c r="B361" s="17"/>
      <c r="C361" s="16"/>
      <c r="D361" s="16"/>
      <c r="E361" s="16"/>
      <c r="F361" s="16"/>
      <c r="G361" s="16"/>
      <c r="H361" s="20"/>
      <c r="I361" s="20"/>
      <c r="J361" s="20"/>
      <c r="K361" s="20"/>
      <c r="L361" s="20"/>
      <c r="M361" s="20"/>
      <c r="N361" s="20"/>
      <c r="O361" s="20"/>
      <c r="P361" s="20"/>
      <c r="Q361" s="20"/>
      <c r="R361" s="20"/>
      <c r="S361" s="20"/>
      <c r="T361"/>
      <c r="U361"/>
      <c r="V361"/>
      <c r="W361"/>
      <c r="X361"/>
      <c r="Y361"/>
      <c r="Z361" s="16"/>
      <c r="AA361" s="16"/>
      <c r="AB361" s="55"/>
      <c r="AC361"/>
      <c r="AD361"/>
      <c r="AE361"/>
      <c r="AF361"/>
      <c r="AG361"/>
      <c r="AH361"/>
      <c r="AI361"/>
      <c r="AJ361"/>
      <c r="AK361"/>
      <c r="AL361"/>
      <c r="AM361"/>
      <c r="AN361"/>
      <c r="AO361"/>
      <c r="AP361"/>
      <c r="AQ361"/>
      <c r="AS361" s="55"/>
      <c r="AT361"/>
      <c r="AU361" s="41"/>
      <c r="AV361" s="16"/>
      <c r="AW361" s="16"/>
      <c r="AX361" s="16"/>
      <c r="AY361" s="16"/>
      <c r="AZ361" s="16"/>
      <c r="BA361" s="16"/>
      <c r="BB361" s="16"/>
      <c r="BC361" s="16"/>
      <c r="BD361" s="16"/>
      <c r="BE361" s="16"/>
      <c r="BF361" s="16"/>
      <c r="BG361" s="16"/>
      <c r="BH361" s="16"/>
      <c r="BI361"/>
      <c r="BJ361"/>
      <c r="BK361"/>
      <c r="BL361"/>
      <c r="BM361"/>
      <c r="BN361"/>
      <c r="BO361"/>
      <c r="BP361"/>
      <c r="BQ361" s="55"/>
      <c r="BR361"/>
      <c r="BS361"/>
      <c r="BT361"/>
      <c r="BU361"/>
      <c r="BV361"/>
      <c r="BW361"/>
      <c r="BX361"/>
      <c r="BY361"/>
      <c r="BZ361"/>
      <c r="CA361"/>
      <c r="CB361"/>
      <c r="CC361"/>
      <c r="CD361"/>
      <c r="CE361"/>
      <c r="CF361"/>
      <c r="CH361" s="55"/>
      <c r="CI361"/>
      <c r="CJ361" s="16"/>
      <c r="CK361" s="16"/>
      <c r="CL361" s="28"/>
      <c r="CM361" s="28"/>
      <c r="CN361" s="28"/>
      <c r="CO361" s="28"/>
      <c r="CP361" s="28"/>
      <c r="CQ361" s="28"/>
      <c r="CR361" s="28"/>
      <c r="CS361" s="28"/>
      <c r="CT361" s="28"/>
      <c r="CU361" s="28"/>
      <c r="CV361" s="28"/>
      <c r="CW361" s="28"/>
      <c r="CX361" s="28"/>
      <c r="CY361" s="28"/>
      <c r="CZ361" s="28"/>
      <c r="DA361" s="28"/>
      <c r="DB361" s="28"/>
      <c r="DC361" s="28"/>
      <c r="DD361" s="28"/>
      <c r="DF361" s="55"/>
      <c r="DX361" s="28"/>
    </row>
    <row r="362" spans="1:128" s="19" customFormat="1" ht="16" customHeight="1">
      <c r="A362" s="18"/>
      <c r="B362" s="17"/>
      <c r="C362" s="16"/>
      <c r="D362" s="16"/>
      <c r="E362" s="16"/>
      <c r="F362" s="16"/>
      <c r="G362" s="16"/>
      <c r="H362" s="20"/>
      <c r="I362" s="20"/>
      <c r="J362" s="20"/>
      <c r="K362" s="20"/>
      <c r="L362" s="20"/>
      <c r="M362" s="20"/>
      <c r="N362" s="20"/>
      <c r="O362" s="20"/>
      <c r="P362" s="20"/>
      <c r="Q362" s="20"/>
      <c r="R362" s="20"/>
      <c r="S362" s="20"/>
      <c r="T362"/>
      <c r="U362"/>
      <c r="V362"/>
      <c r="W362"/>
      <c r="X362"/>
      <c r="Y362"/>
      <c r="Z362" s="16"/>
      <c r="AA362" s="16"/>
      <c r="AB362" s="55"/>
      <c r="AC362"/>
      <c r="AD362"/>
      <c r="AE362"/>
      <c r="AF362"/>
      <c r="AG362"/>
      <c r="AH362"/>
      <c r="AI362"/>
      <c r="AJ362"/>
      <c r="AK362"/>
      <c r="AL362"/>
      <c r="AM362"/>
      <c r="AN362"/>
      <c r="AO362"/>
      <c r="AP362"/>
      <c r="AQ362"/>
      <c r="AS362" s="55"/>
      <c r="AT362"/>
      <c r="AU362" s="41"/>
      <c r="AV362" s="16"/>
      <c r="AW362" s="16"/>
      <c r="AX362" s="16"/>
      <c r="AY362" s="16"/>
      <c r="AZ362" s="16"/>
      <c r="BA362" s="16"/>
      <c r="BB362" s="16"/>
      <c r="BC362" s="16"/>
      <c r="BD362" s="16"/>
      <c r="BE362" s="16"/>
      <c r="BF362" s="16"/>
      <c r="BG362" s="16"/>
      <c r="BH362" s="16"/>
      <c r="BI362"/>
      <c r="BJ362"/>
      <c r="BK362"/>
      <c r="BL362"/>
      <c r="BM362"/>
      <c r="BN362"/>
      <c r="BO362"/>
      <c r="BP362"/>
      <c r="BQ362" s="55"/>
      <c r="BR362"/>
      <c r="BS362"/>
      <c r="BT362"/>
      <c r="BU362"/>
      <c r="BV362"/>
      <c r="BW362"/>
      <c r="BX362"/>
      <c r="BY362"/>
      <c r="BZ362"/>
      <c r="CA362"/>
      <c r="CB362"/>
      <c r="CC362"/>
      <c r="CD362"/>
      <c r="CE362"/>
      <c r="CF362"/>
      <c r="CH362" s="55"/>
      <c r="CI362"/>
      <c r="CJ362" s="16"/>
      <c r="CK362" s="16"/>
      <c r="CL362" s="28"/>
      <c r="CM362" s="28"/>
      <c r="CN362" s="28"/>
      <c r="CO362" s="28"/>
      <c r="CP362" s="28"/>
      <c r="CQ362" s="28"/>
      <c r="CR362" s="28"/>
      <c r="CS362" s="28"/>
      <c r="CT362" s="28"/>
      <c r="CU362" s="28"/>
      <c r="CV362" s="28"/>
      <c r="CW362" s="28"/>
      <c r="CX362" s="28"/>
      <c r="CY362" s="28"/>
      <c r="CZ362" s="28"/>
      <c r="DA362" s="28"/>
      <c r="DB362" s="28"/>
      <c r="DC362" s="28"/>
      <c r="DD362" s="28"/>
      <c r="DF362" s="55"/>
      <c r="DX362" s="28"/>
    </row>
    <row r="363" spans="1:128" s="19" customFormat="1" ht="16" customHeight="1">
      <c r="A363" s="18"/>
      <c r="B363" s="17"/>
      <c r="C363" s="16"/>
      <c r="D363" s="16"/>
      <c r="E363" s="16"/>
      <c r="F363" s="16"/>
      <c r="G363" s="16"/>
      <c r="H363" s="20"/>
      <c r="I363" s="20"/>
      <c r="J363" s="20"/>
      <c r="K363" s="20"/>
      <c r="L363" s="20"/>
      <c r="M363" s="20"/>
      <c r="N363" s="20"/>
      <c r="O363" s="20"/>
      <c r="P363" s="20"/>
      <c r="Q363" s="20"/>
      <c r="R363" s="20"/>
      <c r="S363" s="20"/>
      <c r="T363"/>
      <c r="U363"/>
      <c r="V363"/>
      <c r="W363"/>
      <c r="X363"/>
      <c r="Y363"/>
      <c r="Z363" s="16"/>
      <c r="AA363" s="16"/>
      <c r="AB363" s="55"/>
      <c r="AC363"/>
      <c r="AD363"/>
      <c r="AE363"/>
      <c r="AF363"/>
      <c r="AG363"/>
      <c r="AH363"/>
      <c r="AI363"/>
      <c r="AJ363"/>
      <c r="AK363"/>
      <c r="AL363"/>
      <c r="AM363"/>
      <c r="AN363"/>
      <c r="AO363"/>
      <c r="AP363"/>
      <c r="AQ363"/>
      <c r="AS363" s="55"/>
      <c r="AT363"/>
      <c r="AU363" s="41"/>
      <c r="AV363" s="16"/>
      <c r="AW363" s="16"/>
      <c r="AX363" s="16"/>
      <c r="AY363" s="16"/>
      <c r="AZ363" s="16"/>
      <c r="BA363" s="16"/>
      <c r="BB363" s="16"/>
      <c r="BC363" s="16"/>
      <c r="BD363" s="16"/>
      <c r="BE363" s="16"/>
      <c r="BF363" s="16"/>
      <c r="BG363" s="16"/>
      <c r="BH363" s="16"/>
      <c r="BI363"/>
      <c r="BJ363"/>
      <c r="BK363"/>
      <c r="BL363"/>
      <c r="BM363"/>
      <c r="BN363"/>
      <c r="BO363"/>
      <c r="BP363"/>
      <c r="BQ363" s="55"/>
      <c r="BR363"/>
      <c r="BS363"/>
      <c r="BT363"/>
      <c r="BU363"/>
      <c r="BV363"/>
      <c r="BW363"/>
      <c r="BX363"/>
      <c r="BY363"/>
      <c r="BZ363"/>
      <c r="CA363"/>
      <c r="CB363"/>
      <c r="CC363"/>
      <c r="CD363"/>
      <c r="CE363"/>
      <c r="CF363"/>
      <c r="CH363" s="55"/>
      <c r="CI363"/>
      <c r="CJ363" s="16"/>
      <c r="CK363" s="16"/>
      <c r="CL363" s="28"/>
      <c r="CM363" s="28"/>
      <c r="CN363" s="28"/>
      <c r="CO363" s="28"/>
      <c r="CP363" s="28"/>
      <c r="CQ363" s="28"/>
      <c r="CR363" s="28"/>
      <c r="CS363" s="28"/>
      <c r="CT363" s="28"/>
      <c r="CU363" s="28"/>
      <c r="CV363" s="28"/>
      <c r="CW363" s="28"/>
      <c r="CX363" s="28"/>
      <c r="CY363" s="28"/>
      <c r="CZ363" s="28"/>
      <c r="DA363" s="28"/>
      <c r="DB363" s="28"/>
      <c r="DC363" s="28"/>
      <c r="DD363" s="28"/>
      <c r="DF363" s="55"/>
      <c r="DX363" s="28"/>
    </row>
    <row r="364" spans="1:128" s="19" customFormat="1" ht="16" customHeight="1">
      <c r="A364" s="18"/>
      <c r="B364" s="17"/>
      <c r="C364" s="16"/>
      <c r="D364" s="16"/>
      <c r="E364" s="16"/>
      <c r="F364" s="16"/>
      <c r="G364" s="16"/>
      <c r="H364" s="20"/>
      <c r="I364" s="20"/>
      <c r="J364" s="20"/>
      <c r="K364" s="20"/>
      <c r="L364" s="20"/>
      <c r="M364" s="20"/>
      <c r="N364" s="20"/>
      <c r="O364" s="20"/>
      <c r="P364" s="20"/>
      <c r="Q364" s="20"/>
      <c r="R364" s="20"/>
      <c r="S364" s="20"/>
      <c r="T364"/>
      <c r="U364"/>
      <c r="V364"/>
      <c r="W364"/>
      <c r="X364"/>
      <c r="Y364"/>
      <c r="Z364" s="16"/>
      <c r="AA364" s="16"/>
      <c r="AB364" s="55"/>
      <c r="AC364"/>
      <c r="AD364"/>
      <c r="AE364"/>
      <c r="AF364"/>
      <c r="AG364"/>
      <c r="AH364"/>
      <c r="AI364"/>
      <c r="AJ364"/>
      <c r="AK364"/>
      <c r="AL364"/>
      <c r="AM364"/>
      <c r="AN364"/>
      <c r="AO364"/>
      <c r="AP364"/>
      <c r="AQ364"/>
      <c r="AS364" s="55"/>
      <c r="AT364"/>
      <c r="AU364" s="41"/>
      <c r="AV364" s="16"/>
      <c r="AW364" s="16"/>
      <c r="AX364" s="16"/>
      <c r="AY364" s="16"/>
      <c r="AZ364" s="16"/>
      <c r="BA364" s="16"/>
      <c r="BB364" s="16"/>
      <c r="BC364" s="16"/>
      <c r="BD364" s="16"/>
      <c r="BE364" s="16"/>
      <c r="BF364" s="16"/>
      <c r="BG364" s="16"/>
      <c r="BH364" s="16"/>
      <c r="BI364"/>
      <c r="BJ364"/>
      <c r="BK364"/>
      <c r="BL364"/>
      <c r="BM364"/>
      <c r="BN364"/>
      <c r="BO364"/>
      <c r="BP364"/>
      <c r="BQ364" s="55"/>
      <c r="BR364"/>
      <c r="BS364"/>
      <c r="BT364"/>
      <c r="BU364"/>
      <c r="BV364"/>
      <c r="BW364"/>
      <c r="BX364"/>
      <c r="BY364"/>
      <c r="BZ364"/>
      <c r="CA364"/>
      <c r="CB364"/>
      <c r="CC364"/>
      <c r="CD364"/>
      <c r="CE364"/>
      <c r="CF364"/>
      <c r="CH364" s="55"/>
      <c r="CI364"/>
      <c r="CJ364" s="16"/>
      <c r="CK364" s="16"/>
      <c r="CL364" s="28"/>
      <c r="CM364" s="28"/>
      <c r="CN364" s="28"/>
      <c r="CO364" s="28"/>
      <c r="CP364" s="28"/>
      <c r="CQ364" s="28"/>
      <c r="CR364" s="28"/>
      <c r="CS364" s="28"/>
      <c r="CT364" s="28"/>
      <c r="CU364" s="28"/>
      <c r="CV364" s="28"/>
      <c r="CW364" s="28"/>
      <c r="CX364" s="28"/>
      <c r="CY364" s="28"/>
      <c r="CZ364" s="28"/>
      <c r="DA364" s="28"/>
      <c r="DB364" s="28"/>
      <c r="DC364" s="28"/>
      <c r="DD364" s="28"/>
      <c r="DF364" s="55"/>
      <c r="DX364" s="28"/>
    </row>
    <row r="365" spans="1:128" s="19" customFormat="1" ht="16" customHeight="1">
      <c r="A365" s="18"/>
      <c r="B365" s="17"/>
      <c r="C365" s="16"/>
      <c r="D365" s="16"/>
      <c r="E365" s="16"/>
      <c r="F365" s="16"/>
      <c r="G365" s="16"/>
      <c r="H365" s="20"/>
      <c r="I365" s="20"/>
      <c r="J365" s="20"/>
      <c r="K365" s="20"/>
      <c r="L365" s="20"/>
      <c r="M365" s="20"/>
      <c r="N365" s="20"/>
      <c r="O365" s="20"/>
      <c r="P365" s="20"/>
      <c r="Q365" s="20"/>
      <c r="R365" s="20"/>
      <c r="S365" s="20"/>
      <c r="T365"/>
      <c r="U365"/>
      <c r="V365"/>
      <c r="W365"/>
      <c r="X365"/>
      <c r="Y365"/>
      <c r="Z365" s="16"/>
      <c r="AA365" s="16"/>
      <c r="AB365" s="55"/>
      <c r="AC365"/>
      <c r="AD365"/>
      <c r="AE365"/>
      <c r="AF365"/>
      <c r="AG365"/>
      <c r="AH365"/>
      <c r="AI365"/>
      <c r="AJ365"/>
      <c r="AK365"/>
      <c r="AL365"/>
      <c r="AM365"/>
      <c r="AN365"/>
      <c r="AO365"/>
      <c r="AP365"/>
      <c r="AQ365"/>
      <c r="AS365" s="55"/>
      <c r="AT365"/>
      <c r="AU365" s="41"/>
      <c r="AV365" s="16"/>
      <c r="AW365" s="16"/>
      <c r="AX365" s="16"/>
      <c r="AY365" s="16"/>
      <c r="AZ365" s="16"/>
      <c r="BA365" s="16"/>
      <c r="BB365" s="16"/>
      <c r="BC365" s="16"/>
      <c r="BD365" s="16"/>
      <c r="BE365" s="16"/>
      <c r="BF365" s="16"/>
      <c r="BG365" s="16"/>
      <c r="BH365" s="16"/>
      <c r="BI365"/>
      <c r="BJ365"/>
      <c r="BK365"/>
      <c r="BL365"/>
      <c r="BM365"/>
      <c r="BN365"/>
      <c r="BO365"/>
      <c r="BP365"/>
      <c r="BQ365" s="55"/>
      <c r="BR365"/>
      <c r="BS365"/>
      <c r="BT365"/>
      <c r="BU365"/>
      <c r="BV365"/>
      <c r="BW365"/>
      <c r="BX365"/>
      <c r="BY365"/>
      <c r="BZ365"/>
      <c r="CA365"/>
      <c r="CB365"/>
      <c r="CC365"/>
      <c r="CD365"/>
      <c r="CE365"/>
      <c r="CF365"/>
      <c r="CH365" s="55"/>
      <c r="CI365"/>
      <c r="CJ365" s="16"/>
      <c r="CK365" s="16"/>
      <c r="CL365" s="28"/>
      <c r="CM365" s="28"/>
      <c r="CN365" s="28"/>
      <c r="CO365" s="28"/>
      <c r="CP365" s="28"/>
      <c r="CQ365" s="28"/>
      <c r="CR365" s="28"/>
      <c r="CS365" s="28"/>
      <c r="CT365" s="28"/>
      <c r="CU365" s="28"/>
      <c r="CV365" s="28"/>
      <c r="CW365" s="28"/>
      <c r="CX365" s="28"/>
      <c r="CY365" s="28"/>
      <c r="CZ365" s="28"/>
      <c r="DA365" s="28"/>
      <c r="DB365" s="28"/>
      <c r="DC365" s="28"/>
      <c r="DD365" s="28"/>
      <c r="DF365" s="55"/>
      <c r="DX365" s="28"/>
    </row>
    <row r="366" spans="1:128" s="19" customFormat="1" ht="16" customHeight="1">
      <c r="A366" s="18"/>
      <c r="B366" s="17"/>
      <c r="C366" s="16"/>
      <c r="D366" s="16"/>
      <c r="E366" s="16"/>
      <c r="F366" s="16"/>
      <c r="G366" s="16"/>
      <c r="H366" s="20"/>
      <c r="I366" s="20"/>
      <c r="J366" s="20"/>
      <c r="K366" s="20"/>
      <c r="L366" s="20"/>
      <c r="M366" s="20"/>
      <c r="N366" s="20"/>
      <c r="O366" s="20"/>
      <c r="P366" s="20"/>
      <c r="Q366" s="20"/>
      <c r="R366" s="20"/>
      <c r="S366" s="20"/>
      <c r="T366"/>
      <c r="U366"/>
      <c r="V366"/>
      <c r="W366"/>
      <c r="X366"/>
      <c r="Y366"/>
      <c r="Z366" s="16"/>
      <c r="AA366" s="16"/>
      <c r="AB366" s="55"/>
      <c r="AC366"/>
      <c r="AD366"/>
      <c r="AE366"/>
      <c r="AF366"/>
      <c r="AG366"/>
      <c r="AH366"/>
      <c r="AI366"/>
      <c r="AJ366"/>
      <c r="AK366"/>
      <c r="AL366"/>
      <c r="AM366"/>
      <c r="AN366"/>
      <c r="AO366"/>
      <c r="AP366"/>
      <c r="AQ366"/>
      <c r="AS366" s="55"/>
      <c r="AT366"/>
      <c r="AU366" s="41"/>
      <c r="AV366" s="16"/>
      <c r="AW366" s="16"/>
      <c r="AX366" s="16"/>
      <c r="AY366" s="16"/>
      <c r="AZ366" s="16"/>
      <c r="BA366" s="16"/>
      <c r="BB366" s="16"/>
      <c r="BC366" s="16"/>
      <c r="BD366" s="16"/>
      <c r="BE366" s="16"/>
      <c r="BF366" s="16"/>
      <c r="BG366" s="16"/>
      <c r="BH366" s="16"/>
      <c r="BI366"/>
      <c r="BJ366"/>
      <c r="BK366"/>
      <c r="BL366"/>
      <c r="BM366"/>
      <c r="BN366"/>
      <c r="BO366"/>
      <c r="BP366"/>
      <c r="BQ366" s="55"/>
      <c r="BR366"/>
      <c r="BS366"/>
      <c r="BT366"/>
      <c r="BU366"/>
      <c r="BV366"/>
      <c r="BW366"/>
      <c r="BX366"/>
      <c r="BY366"/>
      <c r="BZ366"/>
      <c r="CA366"/>
      <c r="CB366"/>
      <c r="CC366"/>
      <c r="CD366"/>
      <c r="CE366"/>
      <c r="CF366"/>
      <c r="CH366" s="55"/>
      <c r="CI366"/>
      <c r="CJ366" s="16"/>
      <c r="CK366" s="16"/>
      <c r="CL366" s="28"/>
      <c r="CM366" s="28"/>
      <c r="CN366" s="28"/>
      <c r="CO366" s="28"/>
      <c r="CP366" s="28"/>
      <c r="CQ366" s="28"/>
      <c r="CR366" s="28"/>
      <c r="CS366" s="28"/>
      <c r="CT366" s="28"/>
      <c r="CU366" s="28"/>
      <c r="CV366" s="28"/>
      <c r="CW366" s="28"/>
      <c r="CX366" s="28"/>
      <c r="CY366" s="28"/>
      <c r="CZ366" s="28"/>
      <c r="DA366" s="28"/>
      <c r="DB366" s="28"/>
      <c r="DC366" s="28"/>
      <c r="DD366" s="28"/>
      <c r="DF366" s="55"/>
      <c r="DX366" s="28"/>
    </row>
    <row r="367" spans="1:128" s="19" customFormat="1" ht="16" customHeight="1">
      <c r="A367" s="18"/>
      <c r="B367" s="17"/>
      <c r="C367" s="16"/>
      <c r="D367" s="16"/>
      <c r="E367" s="16"/>
      <c r="F367" s="16"/>
      <c r="G367" s="16"/>
      <c r="H367" s="20"/>
      <c r="I367" s="20"/>
      <c r="J367" s="20"/>
      <c r="K367" s="20"/>
      <c r="L367" s="20"/>
      <c r="M367" s="20"/>
      <c r="N367" s="20"/>
      <c r="O367" s="20"/>
      <c r="P367" s="20"/>
      <c r="Q367" s="20"/>
      <c r="R367" s="20"/>
      <c r="S367" s="20"/>
      <c r="T367"/>
      <c r="U367"/>
      <c r="V367"/>
      <c r="W367"/>
      <c r="X367"/>
      <c r="Y367"/>
      <c r="Z367" s="16"/>
      <c r="AA367" s="16"/>
      <c r="AB367" s="55"/>
      <c r="AC367"/>
      <c r="AD367"/>
      <c r="AE367"/>
      <c r="AF367"/>
      <c r="AG367"/>
      <c r="AH367"/>
      <c r="AI367"/>
      <c r="AJ367"/>
      <c r="AK367"/>
      <c r="AL367"/>
      <c r="AM367"/>
      <c r="AN367"/>
      <c r="AO367"/>
      <c r="AP367"/>
      <c r="AQ367"/>
      <c r="AS367" s="55"/>
      <c r="AT367"/>
      <c r="AU367" s="41"/>
      <c r="AV367" s="16"/>
      <c r="AW367" s="16"/>
      <c r="AX367" s="16"/>
      <c r="AY367" s="16"/>
      <c r="AZ367" s="16"/>
      <c r="BA367" s="16"/>
      <c r="BB367" s="16"/>
      <c r="BC367" s="16"/>
      <c r="BD367" s="16"/>
      <c r="BE367" s="16"/>
      <c r="BF367" s="16"/>
      <c r="BG367" s="16"/>
      <c r="BH367" s="16"/>
      <c r="BI367"/>
      <c r="BJ367"/>
      <c r="BK367"/>
      <c r="BL367"/>
      <c r="BM367"/>
      <c r="BN367"/>
      <c r="BO367"/>
      <c r="BP367"/>
      <c r="BQ367" s="55"/>
      <c r="BR367"/>
      <c r="BS367"/>
      <c r="BT367"/>
      <c r="BU367"/>
      <c r="BV367"/>
      <c r="BW367"/>
      <c r="BX367"/>
      <c r="BY367"/>
      <c r="BZ367"/>
      <c r="CA367"/>
      <c r="CB367"/>
      <c r="CC367"/>
      <c r="CD367"/>
      <c r="CE367"/>
      <c r="CF367"/>
      <c r="CH367" s="55"/>
      <c r="CI367"/>
      <c r="CJ367" s="16"/>
      <c r="CK367" s="16"/>
      <c r="CL367" s="28"/>
      <c r="CM367" s="28"/>
      <c r="CN367" s="28"/>
      <c r="CO367" s="28"/>
      <c r="CP367" s="28"/>
      <c r="CQ367" s="28"/>
      <c r="CR367" s="28"/>
      <c r="CS367" s="28"/>
      <c r="CT367" s="28"/>
      <c r="CU367" s="28"/>
      <c r="CV367" s="28"/>
      <c r="CW367" s="28"/>
      <c r="CX367" s="28"/>
      <c r="CY367" s="28"/>
      <c r="CZ367" s="28"/>
      <c r="DA367" s="28"/>
      <c r="DB367" s="28"/>
      <c r="DC367" s="28"/>
      <c r="DD367" s="28"/>
      <c r="DF367" s="55"/>
      <c r="DX367" s="28"/>
    </row>
    <row r="368" spans="1:128" s="19" customFormat="1" ht="16" customHeight="1">
      <c r="A368" s="18"/>
      <c r="B368" s="17"/>
      <c r="C368" s="16"/>
      <c r="D368" s="16"/>
      <c r="E368" s="16"/>
      <c r="F368" s="16"/>
      <c r="G368" s="16"/>
      <c r="H368" s="20"/>
      <c r="I368" s="20"/>
      <c r="J368" s="20"/>
      <c r="K368" s="20"/>
      <c r="L368" s="20"/>
      <c r="M368" s="20"/>
      <c r="N368" s="20"/>
      <c r="O368" s="20"/>
      <c r="P368" s="20"/>
      <c r="Q368" s="20"/>
      <c r="R368" s="20"/>
      <c r="S368" s="20"/>
      <c r="T368"/>
      <c r="U368"/>
      <c r="V368"/>
      <c r="W368"/>
      <c r="X368"/>
      <c r="Y368"/>
      <c r="Z368" s="16"/>
      <c r="AA368" s="16"/>
      <c r="AB368" s="55"/>
      <c r="AC368"/>
      <c r="AD368"/>
      <c r="AE368"/>
      <c r="AF368"/>
      <c r="AG368"/>
      <c r="AH368"/>
      <c r="AI368"/>
      <c r="AJ368"/>
      <c r="AK368"/>
      <c r="AL368"/>
      <c r="AM368"/>
      <c r="AN368"/>
      <c r="AO368"/>
      <c r="AP368"/>
      <c r="AQ368"/>
      <c r="AS368" s="55"/>
      <c r="AT368"/>
      <c r="AU368" s="41"/>
      <c r="AV368" s="16"/>
      <c r="AW368" s="16"/>
      <c r="AX368" s="16"/>
      <c r="AY368" s="16"/>
      <c r="AZ368" s="16"/>
      <c r="BA368" s="16"/>
      <c r="BB368" s="16"/>
      <c r="BC368" s="16"/>
      <c r="BD368" s="16"/>
      <c r="BE368" s="16"/>
      <c r="BF368" s="16"/>
      <c r="BG368" s="16"/>
      <c r="BH368" s="16"/>
      <c r="BI368"/>
      <c r="BJ368"/>
      <c r="BK368"/>
      <c r="BL368"/>
      <c r="BM368"/>
      <c r="BN368"/>
      <c r="BO368"/>
      <c r="BP368"/>
      <c r="BQ368" s="55"/>
      <c r="BR368"/>
      <c r="BS368"/>
      <c r="BT368"/>
      <c r="BU368"/>
      <c r="BV368"/>
      <c r="BW368"/>
      <c r="BX368"/>
      <c r="BY368"/>
      <c r="BZ368"/>
      <c r="CA368"/>
      <c r="CB368"/>
      <c r="CC368"/>
      <c r="CD368"/>
      <c r="CE368"/>
      <c r="CF368"/>
      <c r="CH368" s="55"/>
      <c r="CI368"/>
      <c r="CJ368" s="16"/>
      <c r="CK368" s="16"/>
      <c r="CL368" s="28"/>
      <c r="CM368" s="28"/>
      <c r="CN368" s="28"/>
      <c r="CO368" s="28"/>
      <c r="CP368" s="28"/>
      <c r="CQ368" s="28"/>
      <c r="CR368" s="28"/>
      <c r="CS368" s="28"/>
      <c r="CT368" s="28"/>
      <c r="CU368" s="28"/>
      <c r="CV368" s="28"/>
      <c r="CW368" s="28"/>
      <c r="CX368" s="28"/>
      <c r="CY368" s="28"/>
      <c r="CZ368" s="28"/>
      <c r="DA368" s="28"/>
      <c r="DB368" s="28"/>
      <c r="DC368" s="28"/>
      <c r="DD368" s="28"/>
      <c r="DF368" s="55"/>
      <c r="DX368" s="28"/>
    </row>
    <row r="369" spans="1:128" s="19" customFormat="1" ht="16" customHeight="1">
      <c r="A369" s="18"/>
      <c r="B369" s="17"/>
      <c r="C369" s="16"/>
      <c r="D369" s="16"/>
      <c r="E369" s="16"/>
      <c r="F369" s="16"/>
      <c r="G369" s="16"/>
      <c r="H369" s="20"/>
      <c r="I369" s="20"/>
      <c r="J369" s="20"/>
      <c r="K369" s="20"/>
      <c r="L369" s="20"/>
      <c r="M369" s="20"/>
      <c r="N369" s="20"/>
      <c r="O369" s="20"/>
      <c r="P369" s="20"/>
      <c r="Q369" s="20"/>
      <c r="R369" s="20"/>
      <c r="S369" s="20"/>
      <c r="T369"/>
      <c r="U369"/>
      <c r="V369"/>
      <c r="W369"/>
      <c r="X369"/>
      <c r="Y369"/>
      <c r="Z369" s="16"/>
      <c r="AA369" s="16"/>
      <c r="AB369" s="55"/>
      <c r="AC369"/>
      <c r="AD369"/>
      <c r="AE369"/>
      <c r="AF369"/>
      <c r="AG369"/>
      <c r="AH369"/>
      <c r="AI369"/>
      <c r="AJ369"/>
      <c r="AK369"/>
      <c r="AL369"/>
      <c r="AM369"/>
      <c r="AN369"/>
      <c r="AO369"/>
      <c r="AP369"/>
      <c r="AQ369"/>
      <c r="AS369" s="55"/>
      <c r="AT369"/>
      <c r="AU369" s="41"/>
      <c r="AV369" s="16"/>
      <c r="AW369" s="16"/>
      <c r="AX369" s="16"/>
      <c r="AY369" s="16"/>
      <c r="AZ369" s="16"/>
      <c r="BA369" s="16"/>
      <c r="BB369" s="16"/>
      <c r="BC369" s="16"/>
      <c r="BD369" s="16"/>
      <c r="BE369" s="16"/>
      <c r="BF369" s="16"/>
      <c r="BG369" s="16"/>
      <c r="BH369" s="16"/>
      <c r="BI369"/>
      <c r="BJ369"/>
      <c r="BK369"/>
      <c r="BL369"/>
      <c r="BM369"/>
      <c r="BN369"/>
      <c r="BO369"/>
      <c r="BP369"/>
      <c r="BQ369" s="55"/>
      <c r="BR369"/>
      <c r="BS369"/>
      <c r="BT369"/>
      <c r="BU369"/>
      <c r="BV369"/>
      <c r="BW369"/>
      <c r="BX369"/>
      <c r="BY369"/>
      <c r="BZ369"/>
      <c r="CA369"/>
      <c r="CB369"/>
      <c r="CC369"/>
      <c r="CD369"/>
      <c r="CE369"/>
      <c r="CF369"/>
      <c r="CH369" s="55"/>
      <c r="CI369"/>
      <c r="CJ369" s="16"/>
      <c r="CK369" s="16"/>
      <c r="CL369" s="28"/>
      <c r="CM369" s="28"/>
      <c r="CN369" s="28"/>
      <c r="CO369" s="28"/>
      <c r="CP369" s="28"/>
      <c r="CQ369" s="28"/>
      <c r="CR369" s="28"/>
      <c r="CS369" s="28"/>
      <c r="CT369" s="28"/>
      <c r="CU369" s="28"/>
      <c r="CV369" s="28"/>
      <c r="CW369" s="28"/>
      <c r="CX369" s="28"/>
      <c r="CY369" s="28"/>
      <c r="CZ369" s="28"/>
      <c r="DA369" s="28"/>
      <c r="DB369" s="28"/>
      <c r="DC369" s="28"/>
      <c r="DD369" s="28"/>
      <c r="DF369" s="55"/>
      <c r="DX369" s="28"/>
    </row>
    <row r="370" spans="1:128" s="19" customFormat="1" ht="16" customHeight="1">
      <c r="A370" s="18"/>
      <c r="B370" s="17"/>
      <c r="C370" s="16"/>
      <c r="D370" s="16"/>
      <c r="E370" s="16"/>
      <c r="F370" s="16"/>
      <c r="G370" s="16"/>
      <c r="H370" s="20"/>
      <c r="I370" s="20"/>
      <c r="J370" s="20"/>
      <c r="K370" s="20"/>
      <c r="L370" s="20"/>
      <c r="M370" s="20"/>
      <c r="N370" s="20"/>
      <c r="O370" s="20"/>
      <c r="P370" s="20"/>
      <c r="Q370" s="20"/>
      <c r="R370" s="20"/>
      <c r="S370" s="20"/>
      <c r="T370"/>
      <c r="U370"/>
      <c r="V370"/>
      <c r="W370"/>
      <c r="X370"/>
      <c r="Y370"/>
      <c r="Z370" s="16"/>
      <c r="AA370" s="16"/>
      <c r="AB370" s="55"/>
      <c r="AC370"/>
      <c r="AD370"/>
      <c r="AE370"/>
      <c r="AF370"/>
      <c r="AG370"/>
      <c r="AH370"/>
      <c r="AI370"/>
      <c r="AJ370"/>
      <c r="AK370"/>
      <c r="AL370"/>
      <c r="AM370"/>
      <c r="AN370"/>
      <c r="AO370"/>
      <c r="AP370"/>
      <c r="AQ370"/>
      <c r="AS370" s="55"/>
      <c r="AT370"/>
      <c r="AU370" s="41"/>
      <c r="AV370" s="16"/>
      <c r="AW370" s="16"/>
      <c r="AX370" s="16"/>
      <c r="AY370" s="16"/>
      <c r="AZ370" s="16"/>
      <c r="BA370" s="16"/>
      <c r="BB370" s="16"/>
      <c r="BC370" s="16"/>
      <c r="BD370" s="16"/>
      <c r="BE370" s="16"/>
      <c r="BF370" s="16"/>
      <c r="BG370" s="16"/>
      <c r="BH370" s="16"/>
      <c r="BI370"/>
      <c r="BJ370"/>
      <c r="BK370"/>
      <c r="BL370"/>
      <c r="BM370"/>
      <c r="BN370"/>
      <c r="BO370"/>
      <c r="BP370"/>
      <c r="BQ370" s="55"/>
      <c r="BR370"/>
      <c r="BS370"/>
      <c r="BT370"/>
      <c r="BU370"/>
      <c r="BV370"/>
      <c r="BW370"/>
      <c r="BX370"/>
      <c r="BY370"/>
      <c r="BZ370"/>
      <c r="CA370"/>
      <c r="CB370"/>
      <c r="CC370"/>
      <c r="CD370"/>
      <c r="CE370"/>
      <c r="CF370"/>
      <c r="CH370" s="55"/>
      <c r="CI370"/>
      <c r="CJ370" s="16"/>
      <c r="CK370" s="16"/>
      <c r="CL370" s="28"/>
      <c r="CM370" s="28"/>
      <c r="CN370" s="28"/>
      <c r="CO370" s="28"/>
      <c r="CP370" s="28"/>
      <c r="CQ370" s="28"/>
      <c r="CR370" s="28"/>
      <c r="CS370" s="28"/>
      <c r="CT370" s="28"/>
      <c r="CU370" s="28"/>
      <c r="CV370" s="28"/>
      <c r="CW370" s="28"/>
      <c r="CX370" s="28"/>
      <c r="CY370" s="28"/>
      <c r="CZ370" s="28"/>
      <c r="DA370" s="28"/>
      <c r="DB370" s="28"/>
      <c r="DC370" s="28"/>
      <c r="DD370" s="28"/>
      <c r="DF370" s="55"/>
      <c r="DX370" s="28"/>
    </row>
    <row r="371" spans="1:128" s="19" customFormat="1" ht="16" customHeight="1">
      <c r="A371" s="18"/>
      <c r="B371" s="17"/>
      <c r="C371" s="16"/>
      <c r="D371" s="16"/>
      <c r="E371" s="16"/>
      <c r="F371" s="16"/>
      <c r="G371" s="16"/>
      <c r="H371" s="20"/>
      <c r="I371" s="20"/>
      <c r="J371" s="20"/>
      <c r="K371" s="20"/>
      <c r="L371" s="20"/>
      <c r="M371" s="20"/>
      <c r="N371" s="20"/>
      <c r="O371" s="20"/>
      <c r="P371" s="20"/>
      <c r="Q371" s="20"/>
      <c r="R371" s="20"/>
      <c r="S371" s="20"/>
      <c r="T371"/>
      <c r="U371"/>
      <c r="V371"/>
      <c r="W371"/>
      <c r="X371"/>
      <c r="Y371"/>
      <c r="Z371" s="16"/>
      <c r="AA371" s="16"/>
      <c r="AB371" s="55"/>
      <c r="AC371"/>
      <c r="AD371"/>
      <c r="AE371"/>
      <c r="AF371"/>
      <c r="AG371"/>
      <c r="AH371"/>
      <c r="AI371"/>
      <c r="AJ371"/>
      <c r="AK371"/>
      <c r="AL371"/>
      <c r="AM371"/>
      <c r="AN371"/>
      <c r="AO371"/>
      <c r="AP371"/>
      <c r="AQ371"/>
      <c r="AS371" s="55"/>
      <c r="AT371"/>
      <c r="AU371" s="41"/>
      <c r="AV371" s="16"/>
      <c r="AW371" s="16"/>
      <c r="AX371" s="16"/>
      <c r="AY371" s="16"/>
      <c r="AZ371" s="16"/>
      <c r="BA371" s="16"/>
      <c r="BB371" s="16"/>
      <c r="BC371" s="16"/>
      <c r="BD371" s="16"/>
      <c r="BE371" s="16"/>
      <c r="BF371" s="16"/>
      <c r="BG371" s="16"/>
      <c r="BH371" s="16"/>
      <c r="BI371"/>
      <c r="BJ371"/>
      <c r="BK371"/>
      <c r="BL371"/>
      <c r="BM371"/>
      <c r="BN371"/>
      <c r="BO371"/>
      <c r="BP371"/>
      <c r="BQ371" s="55"/>
      <c r="BR371"/>
      <c r="BS371"/>
      <c r="BT371"/>
      <c r="BU371"/>
      <c r="BV371"/>
      <c r="BW371"/>
      <c r="BX371"/>
      <c r="BY371"/>
      <c r="BZ371"/>
      <c r="CA371"/>
      <c r="CB371"/>
      <c r="CC371"/>
      <c r="CD371"/>
      <c r="CE371"/>
      <c r="CF371"/>
      <c r="CH371" s="55"/>
      <c r="CI371"/>
      <c r="CJ371" s="16"/>
      <c r="CK371" s="16"/>
      <c r="CL371" s="28"/>
      <c r="CM371" s="28"/>
      <c r="CN371" s="28"/>
      <c r="CO371" s="28"/>
      <c r="CP371" s="28"/>
      <c r="CQ371" s="28"/>
      <c r="CR371" s="28"/>
      <c r="CS371" s="28"/>
      <c r="CT371" s="28"/>
      <c r="CU371" s="28"/>
      <c r="CV371" s="28"/>
      <c r="CW371" s="28"/>
      <c r="CX371" s="28"/>
      <c r="CY371" s="28"/>
      <c r="CZ371" s="28"/>
      <c r="DA371" s="28"/>
      <c r="DB371" s="28"/>
      <c r="DC371" s="28"/>
      <c r="DD371" s="28"/>
      <c r="DF371" s="55"/>
      <c r="DX371" s="28"/>
    </row>
    <row r="372" spans="1:128" s="19" customFormat="1" ht="16" customHeight="1">
      <c r="A372" s="18"/>
      <c r="B372" s="17"/>
      <c r="C372" s="16"/>
      <c r="D372" s="16"/>
      <c r="E372" s="16"/>
      <c r="F372" s="16"/>
      <c r="G372" s="16"/>
      <c r="H372" s="20"/>
      <c r="I372" s="20"/>
      <c r="J372" s="20"/>
      <c r="K372" s="20"/>
      <c r="L372" s="20"/>
      <c r="M372" s="20"/>
      <c r="N372" s="20"/>
      <c r="O372" s="20"/>
      <c r="P372" s="20"/>
      <c r="Q372" s="20"/>
      <c r="R372" s="20"/>
      <c r="S372" s="20"/>
      <c r="T372"/>
      <c r="U372"/>
      <c r="V372"/>
      <c r="W372"/>
      <c r="X372"/>
      <c r="Y372"/>
      <c r="Z372" s="16"/>
      <c r="AA372" s="16"/>
      <c r="AB372" s="55"/>
      <c r="AC372"/>
      <c r="AD372"/>
      <c r="AE372"/>
      <c r="AF372"/>
      <c r="AG372"/>
      <c r="AH372"/>
      <c r="AI372"/>
      <c r="AJ372"/>
      <c r="AK372"/>
      <c r="AL372"/>
      <c r="AM372"/>
      <c r="AN372"/>
      <c r="AO372"/>
      <c r="AP372"/>
      <c r="AQ372"/>
      <c r="AS372" s="55"/>
      <c r="AT372"/>
      <c r="AU372" s="41"/>
      <c r="AV372" s="16"/>
      <c r="AW372" s="16"/>
      <c r="AX372" s="16"/>
      <c r="AY372" s="16"/>
      <c r="AZ372" s="16"/>
      <c r="BA372" s="16"/>
      <c r="BB372" s="16"/>
      <c r="BC372" s="16"/>
      <c r="BD372" s="16"/>
      <c r="BE372" s="16"/>
      <c r="BF372" s="16"/>
      <c r="BG372" s="16"/>
      <c r="BH372" s="16"/>
      <c r="BI372"/>
      <c r="BJ372"/>
      <c r="BK372"/>
      <c r="BL372"/>
      <c r="BM372"/>
      <c r="BN372"/>
      <c r="BO372"/>
      <c r="BP372"/>
      <c r="BQ372" s="55"/>
      <c r="BR372"/>
      <c r="BS372"/>
      <c r="BT372"/>
      <c r="BU372"/>
      <c r="BV372"/>
      <c r="BW372"/>
      <c r="BX372"/>
      <c r="BY372"/>
      <c r="BZ372"/>
      <c r="CA372"/>
      <c r="CB372"/>
      <c r="CC372"/>
      <c r="CD372"/>
      <c r="CE372"/>
      <c r="CF372"/>
      <c r="CH372" s="55"/>
      <c r="CI372"/>
      <c r="CJ372" s="16"/>
      <c r="CK372" s="16"/>
      <c r="CL372" s="28"/>
      <c r="CM372" s="28"/>
      <c r="CN372" s="28"/>
      <c r="CO372" s="28"/>
      <c r="CP372" s="28"/>
      <c r="CQ372" s="28"/>
      <c r="CR372" s="28"/>
      <c r="CS372" s="28"/>
      <c r="CT372" s="28"/>
      <c r="CU372" s="28"/>
      <c r="CV372" s="28"/>
      <c r="CW372" s="28"/>
      <c r="CX372" s="28"/>
      <c r="CY372" s="28"/>
      <c r="CZ372" s="28"/>
      <c r="DA372" s="28"/>
      <c r="DB372" s="28"/>
      <c r="DC372" s="28"/>
      <c r="DD372" s="28"/>
      <c r="DF372" s="55"/>
      <c r="DX372" s="28"/>
    </row>
    <row r="373" spans="1:128" s="19" customFormat="1" ht="16" customHeight="1">
      <c r="A373" s="18"/>
      <c r="B373" s="17"/>
      <c r="C373" s="16"/>
      <c r="D373" s="16"/>
      <c r="E373" s="16"/>
      <c r="F373" s="16"/>
      <c r="G373" s="16"/>
      <c r="H373" s="20"/>
      <c r="I373" s="20"/>
      <c r="J373" s="20"/>
      <c r="K373" s="20"/>
      <c r="L373" s="20"/>
      <c r="M373" s="20"/>
      <c r="N373" s="20"/>
      <c r="O373" s="20"/>
      <c r="P373" s="20"/>
      <c r="Q373" s="20"/>
      <c r="R373" s="20"/>
      <c r="S373" s="20"/>
      <c r="T373"/>
      <c r="U373"/>
      <c r="V373"/>
      <c r="W373"/>
      <c r="X373"/>
      <c r="Y373"/>
      <c r="Z373" s="16"/>
      <c r="AA373" s="16"/>
      <c r="AB373" s="55"/>
      <c r="AC373"/>
      <c r="AD373"/>
      <c r="AE373"/>
      <c r="AF373"/>
      <c r="AG373"/>
      <c r="AH373"/>
      <c r="AI373"/>
      <c r="AJ373"/>
      <c r="AK373"/>
      <c r="AL373"/>
      <c r="AM373"/>
      <c r="AN373"/>
      <c r="AO373"/>
      <c r="AP373"/>
      <c r="AQ373"/>
      <c r="AS373" s="55"/>
      <c r="AT373"/>
      <c r="AU373" s="41"/>
      <c r="AV373" s="16"/>
      <c r="AW373" s="16"/>
      <c r="AX373" s="16"/>
      <c r="AY373" s="16"/>
      <c r="AZ373" s="16"/>
      <c r="BA373" s="16"/>
      <c r="BB373" s="16"/>
      <c r="BC373" s="16"/>
      <c r="BD373" s="16"/>
      <c r="BE373" s="16"/>
      <c r="BF373" s="16"/>
      <c r="BG373" s="16"/>
      <c r="BH373" s="16"/>
      <c r="BI373"/>
      <c r="BJ373"/>
      <c r="BK373"/>
      <c r="BL373"/>
      <c r="BM373"/>
      <c r="BN373"/>
      <c r="BO373"/>
      <c r="BP373"/>
      <c r="BQ373" s="55"/>
      <c r="BR373"/>
      <c r="BS373"/>
      <c r="BT373"/>
      <c r="BU373"/>
      <c r="BV373"/>
      <c r="BW373"/>
      <c r="BX373"/>
      <c r="BY373"/>
      <c r="BZ373"/>
      <c r="CA373"/>
      <c r="CB373"/>
      <c r="CC373"/>
      <c r="CD373"/>
      <c r="CE373"/>
      <c r="CF373"/>
      <c r="CH373" s="55"/>
      <c r="CI373"/>
      <c r="CJ373" s="16"/>
      <c r="CK373" s="16"/>
      <c r="CL373" s="28"/>
      <c r="CM373" s="28"/>
      <c r="CN373" s="28"/>
      <c r="CO373" s="28"/>
      <c r="CP373" s="28"/>
      <c r="CQ373" s="28"/>
      <c r="CR373" s="28"/>
      <c r="CS373" s="28"/>
      <c r="CT373" s="28"/>
      <c r="CU373" s="28"/>
      <c r="CV373" s="28"/>
      <c r="CW373" s="28"/>
      <c r="CX373" s="28"/>
      <c r="CY373" s="28"/>
      <c r="CZ373" s="28"/>
      <c r="DA373" s="28"/>
      <c r="DB373" s="28"/>
      <c r="DC373" s="28"/>
      <c r="DD373" s="28"/>
      <c r="DF373" s="55"/>
      <c r="DX373" s="28"/>
    </row>
    <row r="374" spans="1:128" s="19" customFormat="1" ht="16" customHeight="1">
      <c r="A374" s="18"/>
      <c r="B374" s="17"/>
      <c r="C374" s="16"/>
      <c r="D374" s="16"/>
      <c r="E374" s="16"/>
      <c r="F374" s="16"/>
      <c r="G374" s="16"/>
      <c r="H374" s="20"/>
      <c r="I374" s="20"/>
      <c r="J374" s="20"/>
      <c r="K374" s="20"/>
      <c r="L374" s="20"/>
      <c r="M374" s="20"/>
      <c r="N374" s="20"/>
      <c r="O374" s="20"/>
      <c r="P374" s="20"/>
      <c r="Q374" s="20"/>
      <c r="R374" s="20"/>
      <c r="S374" s="20"/>
      <c r="T374"/>
      <c r="U374"/>
      <c r="V374"/>
      <c r="W374"/>
      <c r="X374"/>
      <c r="Y374"/>
      <c r="Z374" s="16"/>
      <c r="AA374" s="16"/>
      <c r="AB374" s="55"/>
      <c r="AC374"/>
      <c r="AD374"/>
      <c r="AE374"/>
      <c r="AF374"/>
      <c r="AG374"/>
      <c r="AH374"/>
      <c r="AI374"/>
      <c r="AJ374"/>
      <c r="AK374"/>
      <c r="AL374"/>
      <c r="AM374"/>
      <c r="AN374"/>
      <c r="AO374"/>
      <c r="AP374"/>
      <c r="AQ374"/>
      <c r="AS374" s="55"/>
      <c r="AT374"/>
      <c r="AU374" s="41"/>
      <c r="AV374" s="16"/>
      <c r="AW374" s="16"/>
      <c r="AX374" s="16"/>
      <c r="AY374" s="16"/>
      <c r="AZ374" s="16"/>
      <c r="BA374" s="16"/>
      <c r="BB374" s="16"/>
      <c r="BC374" s="16"/>
      <c r="BD374" s="16"/>
      <c r="BE374" s="16"/>
      <c r="BF374" s="16"/>
      <c r="BG374" s="16"/>
      <c r="BH374" s="16"/>
      <c r="BI374"/>
      <c r="BJ374"/>
      <c r="BK374"/>
      <c r="BL374"/>
      <c r="BM374"/>
      <c r="BN374"/>
      <c r="BO374"/>
      <c r="BP374"/>
      <c r="BQ374" s="55"/>
      <c r="BR374"/>
      <c r="BS374"/>
      <c r="BT374"/>
      <c r="BU374"/>
      <c r="BV374"/>
      <c r="BW374"/>
      <c r="BX374"/>
      <c r="BY374"/>
      <c r="BZ374"/>
      <c r="CA374"/>
      <c r="CB374"/>
      <c r="CC374"/>
      <c r="CD374"/>
      <c r="CE374"/>
      <c r="CF374"/>
      <c r="CH374" s="55"/>
      <c r="CI374"/>
      <c r="CJ374" s="16"/>
      <c r="CK374" s="16"/>
      <c r="CL374" s="28"/>
      <c r="CM374" s="28"/>
      <c r="CN374" s="28"/>
      <c r="CO374" s="28"/>
      <c r="CP374" s="28"/>
      <c r="CQ374" s="28"/>
      <c r="CR374" s="28"/>
      <c r="CS374" s="28"/>
      <c r="CT374" s="28"/>
      <c r="CU374" s="28"/>
      <c r="CV374" s="28"/>
      <c r="CW374" s="28"/>
      <c r="CX374" s="28"/>
      <c r="CY374" s="28"/>
      <c r="CZ374" s="28"/>
      <c r="DA374" s="28"/>
      <c r="DB374" s="28"/>
      <c r="DC374" s="28"/>
      <c r="DD374" s="28"/>
      <c r="DF374" s="55"/>
      <c r="DX374" s="28"/>
    </row>
    <row r="375" spans="1:128" s="19" customFormat="1" ht="16" customHeight="1">
      <c r="A375" s="18"/>
      <c r="B375" s="17"/>
      <c r="C375" s="16"/>
      <c r="D375" s="16"/>
      <c r="E375" s="16"/>
      <c r="F375" s="16"/>
      <c r="G375" s="16"/>
      <c r="H375" s="20"/>
      <c r="I375" s="20"/>
      <c r="J375" s="20"/>
      <c r="K375" s="20"/>
      <c r="L375" s="20"/>
      <c r="M375" s="20"/>
      <c r="N375" s="20"/>
      <c r="O375" s="20"/>
      <c r="P375" s="20"/>
      <c r="Q375" s="20"/>
      <c r="R375" s="20"/>
      <c r="S375" s="20"/>
      <c r="T375"/>
      <c r="U375"/>
      <c r="V375"/>
      <c r="W375"/>
      <c r="X375"/>
      <c r="Y375"/>
      <c r="Z375" s="16"/>
      <c r="AA375" s="16"/>
      <c r="AB375" s="55"/>
      <c r="AC375"/>
      <c r="AD375"/>
      <c r="AE375"/>
      <c r="AF375"/>
      <c r="AG375"/>
      <c r="AH375"/>
      <c r="AI375"/>
      <c r="AJ375"/>
      <c r="AK375"/>
      <c r="AL375"/>
      <c r="AM375"/>
      <c r="AN375"/>
      <c r="AO375"/>
      <c r="AP375"/>
      <c r="AQ375"/>
      <c r="AS375" s="55"/>
      <c r="AT375"/>
      <c r="AU375" s="41"/>
      <c r="AV375" s="16"/>
      <c r="AW375" s="16"/>
      <c r="AX375" s="16"/>
      <c r="AY375" s="16"/>
      <c r="AZ375" s="16"/>
      <c r="BA375" s="16"/>
      <c r="BB375" s="16"/>
      <c r="BC375" s="16"/>
      <c r="BD375" s="16"/>
      <c r="BE375" s="16"/>
      <c r="BF375" s="16"/>
      <c r="BG375" s="16"/>
      <c r="BH375" s="16"/>
      <c r="BI375"/>
      <c r="BJ375"/>
      <c r="BK375"/>
      <c r="BL375"/>
      <c r="BM375"/>
      <c r="BN375"/>
      <c r="BO375"/>
      <c r="BP375"/>
      <c r="BQ375" s="55"/>
      <c r="BR375"/>
      <c r="BS375"/>
      <c r="BT375"/>
      <c r="BU375"/>
      <c r="BV375"/>
      <c r="BW375"/>
      <c r="BX375"/>
      <c r="BY375"/>
      <c r="BZ375"/>
      <c r="CA375"/>
      <c r="CB375"/>
      <c r="CC375"/>
      <c r="CD375"/>
      <c r="CE375"/>
      <c r="CF375"/>
      <c r="CH375" s="55"/>
      <c r="CI375"/>
      <c r="CJ375" s="16"/>
      <c r="CK375" s="16"/>
      <c r="CL375" s="28"/>
      <c r="CM375" s="28"/>
      <c r="CN375" s="28"/>
      <c r="CO375" s="28"/>
      <c r="CP375" s="28"/>
      <c r="CQ375" s="28"/>
      <c r="CR375" s="28"/>
      <c r="CS375" s="28"/>
      <c r="CT375" s="28"/>
      <c r="CU375" s="28"/>
      <c r="CV375" s="28"/>
      <c r="CW375" s="28"/>
      <c r="CX375" s="28"/>
      <c r="CY375" s="28"/>
      <c r="CZ375" s="28"/>
      <c r="DA375" s="28"/>
      <c r="DB375" s="28"/>
      <c r="DC375" s="28"/>
      <c r="DD375" s="28"/>
      <c r="DF375" s="55"/>
      <c r="DX375" s="28"/>
    </row>
    <row r="376" spans="1:128" s="19" customFormat="1" ht="16" customHeight="1">
      <c r="A376" s="18"/>
      <c r="B376" s="17"/>
      <c r="C376" s="16"/>
      <c r="D376" s="16"/>
      <c r="E376" s="16"/>
      <c r="F376" s="16"/>
      <c r="G376" s="16"/>
      <c r="H376" s="20"/>
      <c r="I376" s="20"/>
      <c r="J376" s="20"/>
      <c r="K376" s="20"/>
      <c r="L376" s="20"/>
      <c r="M376" s="20"/>
      <c r="N376" s="20"/>
      <c r="O376" s="20"/>
      <c r="P376" s="20"/>
      <c r="Q376" s="20"/>
      <c r="R376" s="20"/>
      <c r="S376" s="20"/>
      <c r="T376"/>
      <c r="U376"/>
      <c r="V376"/>
      <c r="W376"/>
      <c r="X376"/>
      <c r="Y376"/>
      <c r="Z376" s="16"/>
      <c r="AA376" s="16"/>
      <c r="AB376" s="55"/>
      <c r="AC376"/>
      <c r="AD376"/>
      <c r="AE376"/>
      <c r="AF376"/>
      <c r="AG376"/>
      <c r="AH376"/>
      <c r="AI376"/>
      <c r="AJ376"/>
      <c r="AK376"/>
      <c r="AL376"/>
      <c r="AM376"/>
      <c r="AN376"/>
      <c r="AO376"/>
      <c r="AP376"/>
      <c r="AQ376"/>
      <c r="AS376" s="55"/>
      <c r="AT376"/>
      <c r="AU376" s="41"/>
      <c r="AV376" s="16"/>
      <c r="AW376" s="16"/>
      <c r="AX376" s="16"/>
      <c r="AY376" s="16"/>
      <c r="AZ376" s="16"/>
      <c r="BA376" s="16"/>
      <c r="BB376" s="16"/>
      <c r="BC376" s="16"/>
      <c r="BD376" s="16"/>
      <c r="BE376" s="16"/>
      <c r="BF376" s="16"/>
      <c r="BG376" s="16"/>
      <c r="BH376" s="16"/>
      <c r="BI376"/>
      <c r="BJ376"/>
      <c r="BK376"/>
      <c r="BL376"/>
      <c r="BM376"/>
      <c r="BN376"/>
      <c r="BO376"/>
      <c r="BP376"/>
      <c r="BQ376" s="55"/>
      <c r="BR376"/>
      <c r="BS376"/>
      <c r="BT376"/>
      <c r="BU376"/>
      <c r="BV376"/>
      <c r="BW376"/>
      <c r="BX376"/>
      <c r="BY376"/>
      <c r="BZ376"/>
      <c r="CA376"/>
      <c r="CB376"/>
      <c r="CC376"/>
      <c r="CD376"/>
      <c r="CE376"/>
      <c r="CF376"/>
      <c r="CH376" s="55"/>
      <c r="CI376"/>
      <c r="CJ376" s="16"/>
      <c r="CK376" s="16"/>
      <c r="CL376" s="28"/>
      <c r="CM376" s="28"/>
      <c r="CN376" s="28"/>
      <c r="CO376" s="28"/>
      <c r="CP376" s="28"/>
      <c r="CQ376" s="28"/>
      <c r="CR376" s="28"/>
      <c r="CS376" s="28"/>
      <c r="CT376" s="28"/>
      <c r="CU376" s="28"/>
      <c r="CV376" s="28"/>
      <c r="CW376" s="28"/>
      <c r="CX376" s="28"/>
      <c r="CY376" s="28"/>
      <c r="CZ376" s="28"/>
      <c r="DA376" s="28"/>
      <c r="DB376" s="28"/>
      <c r="DC376" s="28"/>
      <c r="DD376" s="28"/>
      <c r="DF376" s="55"/>
      <c r="DX376" s="28"/>
    </row>
    <row r="377" spans="1:128" s="19" customFormat="1" ht="16" customHeight="1">
      <c r="A377" s="18"/>
      <c r="B377" s="17"/>
      <c r="C377" s="16"/>
      <c r="D377" s="16"/>
      <c r="E377" s="16"/>
      <c r="F377" s="16"/>
      <c r="G377" s="16"/>
      <c r="H377" s="20"/>
      <c r="I377" s="20"/>
      <c r="J377" s="20"/>
      <c r="K377" s="20"/>
      <c r="L377" s="20"/>
      <c r="M377" s="20"/>
      <c r="N377" s="20"/>
      <c r="O377" s="20"/>
      <c r="P377" s="20"/>
      <c r="Q377" s="20"/>
      <c r="R377" s="20"/>
      <c r="S377" s="20"/>
      <c r="T377"/>
      <c r="U377"/>
      <c r="V377"/>
      <c r="W377"/>
      <c r="X377"/>
      <c r="Y377"/>
      <c r="Z377" s="16"/>
      <c r="AA377" s="16"/>
      <c r="AB377" s="55"/>
      <c r="AC377"/>
      <c r="AD377"/>
      <c r="AE377"/>
      <c r="AF377"/>
      <c r="AG377"/>
      <c r="AH377"/>
      <c r="AI377"/>
      <c r="AJ377"/>
      <c r="AK377"/>
      <c r="AL377"/>
      <c r="AM377"/>
      <c r="AN377"/>
      <c r="AO377"/>
      <c r="AP377"/>
      <c r="AQ377"/>
      <c r="AS377" s="55"/>
      <c r="AT377"/>
      <c r="AU377" s="41"/>
      <c r="AV377" s="16"/>
      <c r="AW377" s="16"/>
      <c r="AX377" s="16"/>
      <c r="AY377" s="16"/>
      <c r="AZ377" s="16"/>
      <c r="BA377" s="16"/>
      <c r="BB377" s="16"/>
      <c r="BC377" s="16"/>
      <c r="BD377" s="16"/>
      <c r="BE377" s="16"/>
      <c r="BF377" s="16"/>
      <c r="BG377" s="16"/>
      <c r="BH377" s="16"/>
      <c r="BI377"/>
      <c r="BJ377"/>
      <c r="BK377"/>
      <c r="BL377"/>
      <c r="BM377"/>
      <c r="BN377"/>
      <c r="BO377"/>
      <c r="BP377"/>
      <c r="BQ377" s="55"/>
      <c r="BR377"/>
      <c r="BS377"/>
      <c r="BT377"/>
      <c r="BU377"/>
      <c r="BV377"/>
      <c r="BW377"/>
      <c r="BX377"/>
      <c r="BY377"/>
      <c r="BZ377"/>
      <c r="CA377"/>
      <c r="CB377"/>
      <c r="CC377"/>
      <c r="CD377"/>
      <c r="CE377"/>
      <c r="CF377"/>
      <c r="CH377" s="55"/>
      <c r="CI377"/>
      <c r="CJ377" s="16"/>
      <c r="CK377" s="16"/>
      <c r="CL377" s="28"/>
      <c r="CM377" s="28"/>
      <c r="CN377" s="28"/>
      <c r="CO377" s="28"/>
      <c r="CP377" s="28"/>
      <c r="CQ377" s="28"/>
      <c r="CR377" s="28"/>
      <c r="CS377" s="28"/>
      <c r="CT377" s="28"/>
      <c r="CU377" s="28"/>
      <c r="CV377" s="28"/>
      <c r="CW377" s="28"/>
      <c r="CX377" s="28"/>
      <c r="CY377" s="28"/>
      <c r="CZ377" s="28"/>
      <c r="DA377" s="28"/>
      <c r="DB377" s="28"/>
      <c r="DC377" s="28"/>
      <c r="DD377" s="28"/>
      <c r="DF377" s="55"/>
      <c r="DX377" s="28"/>
    </row>
    <row r="378" spans="1:128" s="19" customFormat="1" ht="16" customHeight="1">
      <c r="A378" s="18"/>
      <c r="B378" s="17"/>
      <c r="C378" s="16"/>
      <c r="D378" s="16"/>
      <c r="E378" s="16"/>
      <c r="F378" s="16"/>
      <c r="G378" s="16"/>
      <c r="H378" s="20"/>
      <c r="I378" s="20"/>
      <c r="J378" s="20"/>
      <c r="K378" s="20"/>
      <c r="L378" s="20"/>
      <c r="M378" s="20"/>
      <c r="N378" s="20"/>
      <c r="O378" s="20"/>
      <c r="P378" s="20"/>
      <c r="Q378" s="20"/>
      <c r="R378" s="20"/>
      <c r="S378" s="20"/>
      <c r="T378"/>
      <c r="U378"/>
      <c r="V378"/>
      <c r="W378"/>
      <c r="X378"/>
      <c r="Y378"/>
      <c r="Z378" s="16"/>
      <c r="AA378" s="16"/>
      <c r="AB378" s="55"/>
      <c r="AC378"/>
      <c r="AD378"/>
      <c r="AE378"/>
      <c r="AF378"/>
      <c r="AG378"/>
      <c r="AH378"/>
      <c r="AI378"/>
      <c r="AJ378"/>
      <c r="AK378"/>
      <c r="AL378"/>
      <c r="AM378"/>
      <c r="AN378"/>
      <c r="AO378"/>
      <c r="AP378"/>
      <c r="AQ378"/>
      <c r="AS378" s="55"/>
      <c r="AT378"/>
      <c r="AU378" s="41"/>
      <c r="AV378" s="16"/>
      <c r="AW378" s="16"/>
      <c r="AX378" s="16"/>
      <c r="AY378" s="16"/>
      <c r="AZ378" s="16"/>
      <c r="BA378" s="16"/>
      <c r="BB378" s="16"/>
      <c r="BC378" s="16"/>
      <c r="BD378" s="16"/>
      <c r="BE378" s="16"/>
      <c r="BF378" s="16"/>
      <c r="BG378" s="16"/>
      <c r="BH378" s="16"/>
      <c r="BI378"/>
      <c r="BJ378"/>
      <c r="BK378"/>
      <c r="BL378"/>
      <c r="BM378"/>
      <c r="BN378"/>
      <c r="BO378"/>
      <c r="BP378"/>
      <c r="BQ378" s="55"/>
      <c r="BR378"/>
      <c r="BS378"/>
      <c r="BT378"/>
      <c r="BU378"/>
      <c r="BV378"/>
      <c r="BW378"/>
      <c r="BX378"/>
      <c r="BY378"/>
      <c r="BZ378"/>
      <c r="CA378"/>
      <c r="CB378"/>
      <c r="CC378"/>
      <c r="CD378"/>
      <c r="CE378"/>
      <c r="CF378"/>
      <c r="CH378" s="55"/>
      <c r="CI378"/>
      <c r="CJ378" s="16"/>
      <c r="CK378" s="16"/>
      <c r="CL378" s="28"/>
      <c r="CM378" s="28"/>
      <c r="CN378" s="28"/>
      <c r="CO378" s="28"/>
      <c r="CP378" s="28"/>
      <c r="CQ378" s="28"/>
      <c r="CR378" s="28"/>
      <c r="CS378" s="28"/>
      <c r="CT378" s="28"/>
      <c r="CU378" s="28"/>
      <c r="CV378" s="28"/>
      <c r="CW378" s="28"/>
      <c r="CX378" s="28"/>
      <c r="CY378" s="28"/>
      <c r="CZ378" s="28"/>
      <c r="DA378" s="28"/>
      <c r="DB378" s="28"/>
      <c r="DC378" s="28"/>
      <c r="DD378" s="28"/>
      <c r="DF378" s="55"/>
      <c r="DX378" s="28"/>
    </row>
    <row r="379" spans="1:128" s="19" customFormat="1" ht="16" customHeight="1">
      <c r="A379" s="18"/>
      <c r="B379" s="17"/>
      <c r="C379" s="16"/>
      <c r="D379" s="16"/>
      <c r="E379" s="16"/>
      <c r="F379" s="16"/>
      <c r="G379" s="16"/>
      <c r="H379" s="20"/>
      <c r="I379" s="20"/>
      <c r="J379" s="20"/>
      <c r="K379" s="20"/>
      <c r="L379" s="20"/>
      <c r="M379" s="20"/>
      <c r="N379" s="20"/>
      <c r="O379" s="20"/>
      <c r="P379" s="20"/>
      <c r="Q379" s="20"/>
      <c r="R379" s="20"/>
      <c r="S379" s="20"/>
      <c r="T379"/>
      <c r="U379"/>
      <c r="V379"/>
      <c r="W379"/>
      <c r="X379"/>
      <c r="Y379"/>
      <c r="Z379" s="16"/>
      <c r="AA379" s="16"/>
      <c r="AB379" s="55"/>
      <c r="AC379"/>
      <c r="AD379"/>
      <c r="AE379"/>
      <c r="AF379"/>
      <c r="AG379"/>
      <c r="AH379"/>
      <c r="AI379"/>
      <c r="AJ379"/>
      <c r="AK379"/>
      <c r="AL379"/>
      <c r="AM379"/>
      <c r="AN379"/>
      <c r="AO379"/>
      <c r="AP379"/>
      <c r="AQ379"/>
      <c r="AS379" s="55"/>
      <c r="AT379"/>
      <c r="AU379" s="41"/>
      <c r="AV379" s="16"/>
      <c r="AW379" s="16"/>
      <c r="AX379" s="16"/>
      <c r="AY379" s="16"/>
      <c r="AZ379" s="16"/>
      <c r="BA379" s="16"/>
      <c r="BB379" s="16"/>
      <c r="BC379" s="16"/>
      <c r="BD379" s="16"/>
      <c r="BE379" s="16"/>
      <c r="BF379" s="16"/>
      <c r="BG379" s="16"/>
      <c r="BH379" s="16"/>
      <c r="BI379"/>
      <c r="BJ379"/>
      <c r="BK379"/>
      <c r="BL379"/>
      <c r="BM379"/>
      <c r="BN379"/>
      <c r="BO379"/>
      <c r="BP379"/>
      <c r="BQ379" s="55"/>
      <c r="BR379"/>
      <c r="BS379"/>
      <c r="BT379"/>
      <c r="BU379"/>
      <c r="BV379"/>
      <c r="BW379"/>
      <c r="BX379"/>
      <c r="BY379"/>
      <c r="BZ379"/>
      <c r="CA379"/>
      <c r="CB379"/>
      <c r="CC379"/>
      <c r="CD379"/>
      <c r="CE379"/>
      <c r="CF379"/>
      <c r="CH379" s="55"/>
      <c r="CI379"/>
      <c r="CJ379" s="16"/>
      <c r="CK379" s="16"/>
      <c r="CL379" s="28"/>
      <c r="CM379" s="28"/>
      <c r="CN379" s="28"/>
      <c r="CO379" s="28"/>
      <c r="CP379" s="28"/>
      <c r="CQ379" s="28"/>
      <c r="CR379" s="28"/>
      <c r="CS379" s="28"/>
      <c r="CT379" s="28"/>
      <c r="CU379" s="28"/>
      <c r="CV379" s="28"/>
      <c r="CW379" s="28"/>
      <c r="CX379" s="28"/>
      <c r="CY379" s="28"/>
      <c r="CZ379" s="28"/>
      <c r="DA379" s="28"/>
      <c r="DB379" s="28"/>
      <c r="DC379" s="28"/>
      <c r="DD379" s="28"/>
      <c r="DF379" s="55"/>
      <c r="DX379" s="28"/>
    </row>
    <row r="380" spans="1:128" s="19" customFormat="1" ht="16" customHeight="1">
      <c r="A380" s="18"/>
      <c r="B380" s="17"/>
      <c r="C380" s="16"/>
      <c r="D380" s="16"/>
      <c r="E380" s="16"/>
      <c r="F380" s="16"/>
      <c r="G380" s="16"/>
      <c r="H380" s="20"/>
      <c r="I380" s="20"/>
      <c r="J380" s="20"/>
      <c r="K380" s="20"/>
      <c r="L380" s="20"/>
      <c r="M380" s="20"/>
      <c r="N380" s="20"/>
      <c r="O380" s="20"/>
      <c r="P380" s="20"/>
      <c r="Q380" s="20"/>
      <c r="R380" s="20"/>
      <c r="S380" s="20"/>
      <c r="T380"/>
      <c r="U380"/>
      <c r="V380"/>
      <c r="W380"/>
      <c r="X380"/>
      <c r="Y380"/>
      <c r="Z380" s="16"/>
      <c r="AA380" s="16"/>
      <c r="AB380" s="55"/>
      <c r="AC380"/>
      <c r="AD380"/>
      <c r="AE380"/>
      <c r="AF380"/>
      <c r="AG380"/>
      <c r="AH380"/>
      <c r="AI380"/>
      <c r="AJ380"/>
      <c r="AK380"/>
      <c r="AL380"/>
      <c r="AM380"/>
      <c r="AN380"/>
      <c r="AO380"/>
      <c r="AP380"/>
      <c r="AQ380"/>
      <c r="AS380" s="55"/>
      <c r="AT380"/>
      <c r="AU380" s="41"/>
      <c r="AV380" s="16"/>
      <c r="AW380" s="16"/>
      <c r="AX380" s="16"/>
      <c r="AY380" s="16"/>
      <c r="AZ380" s="16"/>
      <c r="BA380" s="16"/>
      <c r="BB380" s="16"/>
      <c r="BC380" s="16"/>
      <c r="BD380" s="16"/>
      <c r="BE380" s="16"/>
      <c r="BF380" s="16"/>
      <c r="BG380" s="16"/>
      <c r="BH380" s="16"/>
      <c r="BI380"/>
      <c r="BJ380"/>
      <c r="BK380"/>
      <c r="BL380"/>
      <c r="BM380"/>
      <c r="BN380"/>
      <c r="BO380"/>
      <c r="BP380"/>
      <c r="BQ380" s="55"/>
      <c r="BR380"/>
      <c r="BS380"/>
      <c r="BT380"/>
      <c r="BU380"/>
      <c r="BV380"/>
      <c r="BW380"/>
      <c r="BX380"/>
      <c r="BY380"/>
      <c r="BZ380"/>
      <c r="CA380"/>
      <c r="CB380"/>
      <c r="CC380"/>
      <c r="CD380"/>
      <c r="CE380"/>
      <c r="CF380"/>
      <c r="CH380" s="55"/>
      <c r="CI380"/>
      <c r="CJ380" s="16"/>
      <c r="CK380" s="16"/>
      <c r="CL380" s="28"/>
      <c r="CM380" s="28"/>
      <c r="CN380" s="28"/>
      <c r="CO380" s="28"/>
      <c r="CP380" s="28"/>
      <c r="CQ380" s="28"/>
      <c r="CR380" s="28"/>
      <c r="CS380" s="28"/>
      <c r="CT380" s="28"/>
      <c r="CU380" s="28"/>
      <c r="CV380" s="28"/>
      <c r="CW380" s="28"/>
      <c r="CX380" s="28"/>
      <c r="CY380" s="28"/>
      <c r="CZ380" s="28"/>
      <c r="DA380" s="28"/>
      <c r="DB380" s="28"/>
      <c r="DC380" s="28"/>
      <c r="DD380" s="28"/>
      <c r="DF380" s="55"/>
      <c r="DX380" s="28"/>
    </row>
    <row r="381" spans="1:128" s="19" customFormat="1" ht="16" customHeight="1">
      <c r="A381" s="18"/>
      <c r="B381" s="17"/>
      <c r="C381" s="16"/>
      <c r="D381" s="16"/>
      <c r="E381" s="16"/>
      <c r="F381" s="16"/>
      <c r="G381" s="16"/>
      <c r="H381" s="20"/>
      <c r="I381" s="20"/>
      <c r="J381" s="20"/>
      <c r="K381" s="20"/>
      <c r="L381" s="20"/>
      <c r="M381" s="20"/>
      <c r="N381" s="20"/>
      <c r="O381" s="20"/>
      <c r="P381" s="20"/>
      <c r="Q381" s="20"/>
      <c r="R381" s="20"/>
      <c r="S381" s="20"/>
      <c r="T381"/>
      <c r="U381"/>
      <c r="V381"/>
      <c r="W381"/>
      <c r="X381"/>
      <c r="Y381"/>
      <c r="Z381" s="16"/>
      <c r="AA381" s="16"/>
      <c r="AB381" s="55"/>
      <c r="AC381"/>
      <c r="AD381"/>
      <c r="AE381"/>
      <c r="AF381"/>
      <c r="AG381"/>
      <c r="AH381"/>
      <c r="AI381"/>
      <c r="AJ381"/>
      <c r="AK381"/>
      <c r="AL381"/>
      <c r="AM381"/>
      <c r="AN381"/>
      <c r="AO381"/>
      <c r="AP381"/>
      <c r="AQ381"/>
      <c r="AS381" s="55"/>
      <c r="AT381"/>
      <c r="AU381" s="41"/>
      <c r="AV381" s="16"/>
      <c r="AW381" s="16"/>
      <c r="AX381" s="16"/>
      <c r="AY381" s="16"/>
      <c r="AZ381" s="16"/>
      <c r="BA381" s="16"/>
      <c r="BB381" s="16"/>
      <c r="BC381" s="16"/>
      <c r="BD381" s="16"/>
      <c r="BE381" s="16"/>
      <c r="BF381" s="16"/>
      <c r="BG381" s="16"/>
      <c r="BH381" s="16"/>
      <c r="BI381"/>
      <c r="BJ381"/>
      <c r="BK381"/>
      <c r="BL381"/>
      <c r="BM381"/>
      <c r="BN381"/>
      <c r="BO381"/>
      <c r="BP381"/>
      <c r="BQ381" s="55"/>
      <c r="BR381"/>
      <c r="BS381"/>
      <c r="BT381"/>
      <c r="BU381"/>
      <c r="BV381"/>
      <c r="BW381"/>
      <c r="BX381"/>
      <c r="BY381"/>
      <c r="BZ381"/>
      <c r="CA381"/>
      <c r="CB381"/>
      <c r="CC381"/>
      <c r="CD381"/>
      <c r="CE381"/>
      <c r="CF381"/>
      <c r="CH381" s="55"/>
      <c r="CI381"/>
      <c r="CJ381" s="16"/>
      <c r="CK381" s="16"/>
      <c r="CL381" s="28"/>
      <c r="CM381" s="28"/>
      <c r="CN381" s="28"/>
      <c r="CO381" s="28"/>
      <c r="CP381" s="28"/>
      <c r="CQ381" s="28"/>
      <c r="CR381" s="28"/>
      <c r="CS381" s="28"/>
      <c r="CT381" s="28"/>
      <c r="CU381" s="28"/>
      <c r="CV381" s="28"/>
      <c r="CW381" s="28"/>
      <c r="CX381" s="28"/>
      <c r="CY381" s="28"/>
      <c r="CZ381" s="28"/>
      <c r="DA381" s="28"/>
      <c r="DB381" s="28"/>
      <c r="DC381" s="28"/>
      <c r="DD381" s="28"/>
      <c r="DF381" s="55"/>
      <c r="DX381" s="28"/>
    </row>
    <row r="382" spans="1:128" s="19" customFormat="1" ht="16" customHeight="1">
      <c r="A382" s="18"/>
      <c r="B382" s="17"/>
      <c r="C382" s="16"/>
      <c r="D382" s="16"/>
      <c r="E382" s="16"/>
      <c r="F382" s="16"/>
      <c r="G382" s="16"/>
      <c r="H382" s="20"/>
      <c r="I382" s="20"/>
      <c r="J382" s="20"/>
      <c r="K382" s="20"/>
      <c r="L382" s="20"/>
      <c r="M382" s="20"/>
      <c r="N382" s="20"/>
      <c r="O382" s="20"/>
      <c r="P382" s="20"/>
      <c r="Q382" s="20"/>
      <c r="R382" s="20"/>
      <c r="S382" s="20"/>
      <c r="T382"/>
      <c r="U382"/>
      <c r="V382"/>
      <c r="W382"/>
      <c r="X382"/>
      <c r="Y382"/>
      <c r="Z382" s="16"/>
      <c r="AA382" s="16"/>
      <c r="AB382" s="55"/>
      <c r="AC382"/>
      <c r="AD382"/>
      <c r="AE382"/>
      <c r="AF382"/>
      <c r="AG382"/>
      <c r="AH382"/>
      <c r="AI382"/>
      <c r="AJ382"/>
      <c r="AK382"/>
      <c r="AL382"/>
      <c r="AM382"/>
      <c r="AN382"/>
      <c r="AO382"/>
      <c r="AP382"/>
      <c r="AQ382"/>
      <c r="AS382" s="55"/>
      <c r="AT382"/>
      <c r="AU382" s="41"/>
      <c r="AV382" s="16"/>
      <c r="AW382" s="16"/>
      <c r="AX382" s="16"/>
      <c r="AY382" s="16"/>
      <c r="AZ382" s="16"/>
      <c r="BA382" s="16"/>
      <c r="BB382" s="16"/>
      <c r="BC382" s="16"/>
      <c r="BD382" s="16"/>
      <c r="BE382" s="16"/>
      <c r="BF382" s="16"/>
      <c r="BG382" s="16"/>
      <c r="BH382" s="16"/>
      <c r="BI382"/>
      <c r="BJ382"/>
      <c r="BK382"/>
      <c r="BL382"/>
      <c r="BM382"/>
      <c r="BN382"/>
      <c r="BO382"/>
      <c r="BP382"/>
      <c r="BQ382" s="55"/>
      <c r="BR382"/>
      <c r="BS382"/>
      <c r="BT382"/>
      <c r="BU382"/>
      <c r="BV382"/>
      <c r="BW382"/>
      <c r="BX382"/>
      <c r="BY382"/>
      <c r="BZ382"/>
      <c r="CA382"/>
      <c r="CB382"/>
      <c r="CC382"/>
      <c r="CD382"/>
      <c r="CE382"/>
      <c r="CF382"/>
      <c r="CH382" s="55"/>
      <c r="CI382"/>
      <c r="CJ382" s="16"/>
      <c r="CK382" s="16"/>
      <c r="CL382" s="28"/>
      <c r="CM382" s="28"/>
      <c r="CN382" s="28"/>
      <c r="CO382" s="28"/>
      <c r="CP382" s="28"/>
      <c r="CQ382" s="28"/>
      <c r="CR382" s="28"/>
      <c r="CS382" s="28"/>
      <c r="CT382" s="28"/>
      <c r="CU382" s="28"/>
      <c r="CV382" s="28"/>
      <c r="CW382" s="28"/>
      <c r="CX382" s="28"/>
      <c r="CY382" s="28"/>
      <c r="CZ382" s="28"/>
      <c r="DA382" s="28"/>
      <c r="DB382" s="28"/>
      <c r="DC382" s="28"/>
      <c r="DD382" s="28"/>
      <c r="DF382" s="55"/>
      <c r="DX382" s="28"/>
    </row>
    <row r="383" spans="1:128" s="19" customFormat="1" ht="16" customHeight="1">
      <c r="A383" s="18"/>
      <c r="B383" s="17"/>
      <c r="C383" s="16"/>
      <c r="D383" s="16"/>
      <c r="E383" s="16"/>
      <c r="F383" s="16"/>
      <c r="G383" s="16"/>
      <c r="H383" s="20"/>
      <c r="I383" s="20"/>
      <c r="J383" s="20"/>
      <c r="K383" s="20"/>
      <c r="L383" s="20"/>
      <c r="M383" s="20"/>
      <c r="N383" s="20"/>
      <c r="O383" s="20"/>
      <c r="P383" s="20"/>
      <c r="Q383" s="20"/>
      <c r="R383" s="20"/>
      <c r="S383" s="20"/>
      <c r="T383"/>
      <c r="U383"/>
      <c r="V383"/>
      <c r="W383"/>
      <c r="X383"/>
      <c r="Y383"/>
      <c r="Z383" s="16"/>
      <c r="AA383" s="16"/>
      <c r="AB383" s="55"/>
      <c r="AC383"/>
      <c r="AD383"/>
      <c r="AE383"/>
      <c r="AF383"/>
      <c r="AG383"/>
      <c r="AH383"/>
      <c r="AI383"/>
      <c r="AJ383"/>
      <c r="AK383"/>
      <c r="AL383"/>
      <c r="AM383"/>
      <c r="AN383"/>
      <c r="AO383"/>
      <c r="AP383"/>
      <c r="AQ383"/>
      <c r="AS383" s="55"/>
      <c r="AT383"/>
      <c r="AU383" s="41"/>
      <c r="AV383" s="16"/>
      <c r="AW383" s="16"/>
      <c r="AX383" s="16"/>
      <c r="AY383" s="16"/>
      <c r="AZ383" s="16"/>
      <c r="BA383" s="16"/>
      <c r="BB383" s="16"/>
      <c r="BC383" s="16"/>
      <c r="BD383" s="16"/>
      <c r="BE383" s="16"/>
      <c r="BF383" s="16"/>
      <c r="BG383" s="16"/>
      <c r="BH383" s="16"/>
      <c r="BI383"/>
      <c r="BJ383"/>
      <c r="BK383"/>
      <c r="BL383"/>
      <c r="BM383"/>
      <c r="BN383"/>
      <c r="BO383"/>
      <c r="BP383"/>
      <c r="BQ383" s="55"/>
      <c r="BR383"/>
      <c r="BS383"/>
      <c r="BT383"/>
      <c r="BU383"/>
      <c r="BV383"/>
      <c r="BW383"/>
      <c r="BX383"/>
      <c r="BY383"/>
      <c r="BZ383"/>
      <c r="CA383"/>
      <c r="CB383"/>
      <c r="CC383"/>
      <c r="CD383"/>
      <c r="CE383"/>
      <c r="CF383"/>
      <c r="CH383" s="55"/>
      <c r="CI383"/>
      <c r="CJ383" s="16"/>
      <c r="CK383" s="16"/>
      <c r="CL383" s="28"/>
      <c r="CM383" s="28"/>
      <c r="CN383" s="28"/>
      <c r="CO383" s="28"/>
      <c r="CP383" s="28"/>
      <c r="CQ383" s="28"/>
      <c r="CR383" s="28"/>
      <c r="CS383" s="28"/>
      <c r="CT383" s="28"/>
      <c r="CU383" s="28"/>
      <c r="CV383" s="28"/>
      <c r="CW383" s="28"/>
      <c r="CX383" s="28"/>
      <c r="CY383" s="28"/>
      <c r="CZ383" s="28"/>
      <c r="DA383" s="28"/>
      <c r="DB383" s="28"/>
      <c r="DC383" s="28"/>
      <c r="DD383" s="28"/>
      <c r="DF383" s="55"/>
      <c r="DX383" s="28"/>
    </row>
    <row r="384" spans="1:128" s="19" customFormat="1" ht="16" customHeight="1">
      <c r="A384" s="18"/>
      <c r="B384" s="17"/>
      <c r="C384" s="16"/>
      <c r="D384" s="16"/>
      <c r="E384" s="16"/>
      <c r="F384" s="16"/>
      <c r="G384" s="16"/>
      <c r="H384" s="20"/>
      <c r="I384" s="20"/>
      <c r="J384" s="20"/>
      <c r="K384" s="20"/>
      <c r="L384" s="20"/>
      <c r="M384" s="20"/>
      <c r="N384" s="20"/>
      <c r="O384" s="20"/>
      <c r="P384" s="20"/>
      <c r="Q384" s="20"/>
      <c r="R384" s="20"/>
      <c r="S384" s="20"/>
      <c r="T384"/>
      <c r="U384"/>
      <c r="V384"/>
      <c r="W384"/>
      <c r="X384"/>
      <c r="Y384"/>
      <c r="Z384" s="16"/>
      <c r="AA384" s="16"/>
      <c r="AB384" s="55"/>
      <c r="AC384"/>
      <c r="AD384"/>
      <c r="AE384"/>
      <c r="AF384"/>
      <c r="AG384"/>
      <c r="AH384"/>
      <c r="AI384"/>
      <c r="AJ384"/>
      <c r="AK384"/>
      <c r="AL384"/>
      <c r="AM384"/>
      <c r="AN384"/>
      <c r="AO384"/>
      <c r="AP384"/>
      <c r="AQ384"/>
      <c r="AS384" s="55"/>
      <c r="AT384"/>
      <c r="AU384" s="41"/>
      <c r="AV384" s="16"/>
      <c r="AW384" s="16"/>
      <c r="AX384" s="16"/>
      <c r="AY384" s="16"/>
      <c r="AZ384" s="16"/>
      <c r="BA384" s="16"/>
      <c r="BB384" s="16"/>
      <c r="BC384" s="16"/>
      <c r="BD384" s="16"/>
      <c r="BE384" s="16"/>
      <c r="BF384" s="16"/>
      <c r="BG384" s="16"/>
      <c r="BH384" s="16"/>
      <c r="BI384"/>
      <c r="BJ384"/>
      <c r="BK384"/>
      <c r="BL384"/>
      <c r="BM384"/>
      <c r="BN384"/>
      <c r="BO384"/>
      <c r="BP384"/>
      <c r="BQ384" s="55"/>
      <c r="BR384"/>
      <c r="BS384"/>
      <c r="BT384"/>
      <c r="BU384"/>
      <c r="BV384"/>
      <c r="BW384"/>
      <c r="BX384"/>
      <c r="BY384"/>
      <c r="BZ384"/>
      <c r="CA384"/>
      <c r="CB384"/>
      <c r="CC384"/>
      <c r="CD384"/>
      <c r="CE384"/>
      <c r="CF384"/>
      <c r="CH384" s="55"/>
      <c r="CI384"/>
      <c r="CJ384" s="16"/>
      <c r="CK384" s="16"/>
      <c r="CL384" s="28"/>
      <c r="CM384" s="28"/>
      <c r="CN384" s="28"/>
      <c r="CO384" s="28"/>
      <c r="CP384" s="28"/>
      <c r="CQ384" s="28"/>
      <c r="CR384" s="28"/>
      <c r="CS384" s="28"/>
      <c r="CT384" s="28"/>
      <c r="CU384" s="28"/>
      <c r="CV384" s="28"/>
      <c r="CW384" s="28"/>
      <c r="CX384" s="28"/>
      <c r="CY384" s="28"/>
      <c r="CZ384" s="28"/>
      <c r="DA384" s="28"/>
      <c r="DB384" s="28"/>
      <c r="DC384" s="28"/>
      <c r="DD384" s="28"/>
      <c r="DF384" s="55"/>
      <c r="DX384" s="28"/>
    </row>
    <row r="385" spans="1:128" s="19" customFormat="1" ht="16" customHeight="1">
      <c r="A385" s="18"/>
      <c r="B385" s="17"/>
      <c r="C385" s="16"/>
      <c r="D385" s="16"/>
      <c r="E385" s="16"/>
      <c r="F385" s="16"/>
      <c r="G385" s="16"/>
      <c r="H385" s="20"/>
      <c r="I385" s="20"/>
      <c r="J385" s="20"/>
      <c r="K385" s="20"/>
      <c r="L385" s="20"/>
      <c r="M385" s="20"/>
      <c r="N385" s="20"/>
      <c r="O385" s="20"/>
      <c r="P385" s="20"/>
      <c r="Q385" s="20"/>
      <c r="R385" s="20"/>
      <c r="S385" s="20"/>
      <c r="T385"/>
      <c r="U385"/>
      <c r="V385"/>
      <c r="W385"/>
      <c r="X385"/>
      <c r="Y385"/>
      <c r="Z385" s="16"/>
      <c r="AA385" s="16"/>
      <c r="AB385" s="55"/>
      <c r="AC385"/>
      <c r="AD385"/>
      <c r="AE385"/>
      <c r="AF385"/>
      <c r="AG385"/>
      <c r="AH385"/>
      <c r="AI385"/>
      <c r="AJ385"/>
      <c r="AK385"/>
      <c r="AL385"/>
      <c r="AM385"/>
      <c r="AN385"/>
      <c r="AO385"/>
      <c r="AP385"/>
      <c r="AQ385"/>
      <c r="AS385" s="55"/>
      <c r="AT385"/>
      <c r="AU385" s="41"/>
      <c r="AV385" s="16"/>
      <c r="AW385" s="16"/>
      <c r="AX385" s="16"/>
      <c r="AY385" s="16"/>
      <c r="AZ385" s="16"/>
      <c r="BA385" s="16"/>
      <c r="BB385" s="16"/>
      <c r="BC385" s="16"/>
      <c r="BD385" s="16"/>
      <c r="BE385" s="16"/>
      <c r="BF385" s="16"/>
      <c r="BG385" s="16"/>
      <c r="BH385" s="16"/>
      <c r="BI385"/>
      <c r="BJ385"/>
      <c r="BK385"/>
      <c r="BL385"/>
      <c r="BM385"/>
      <c r="BN385"/>
      <c r="BO385"/>
      <c r="BP385"/>
      <c r="BQ385" s="55"/>
      <c r="BR385"/>
      <c r="BS385"/>
      <c r="BT385"/>
      <c r="BU385"/>
      <c r="BV385"/>
      <c r="BW385"/>
      <c r="BX385"/>
      <c r="BY385"/>
      <c r="BZ385"/>
      <c r="CA385"/>
      <c r="CB385"/>
      <c r="CC385"/>
      <c r="CD385"/>
      <c r="CE385"/>
      <c r="CF385"/>
      <c r="CH385" s="55"/>
      <c r="CI385"/>
      <c r="CJ385" s="16"/>
      <c r="CK385" s="16"/>
      <c r="CL385" s="28"/>
      <c r="CM385" s="28"/>
      <c r="CN385" s="28"/>
      <c r="CO385" s="28"/>
      <c r="CP385" s="28"/>
      <c r="CQ385" s="28"/>
      <c r="CR385" s="28"/>
      <c r="CS385" s="28"/>
      <c r="CT385" s="28"/>
      <c r="CU385" s="28"/>
      <c r="CV385" s="28"/>
      <c r="CW385" s="28"/>
      <c r="CX385" s="28"/>
      <c r="CY385" s="28"/>
      <c r="CZ385" s="28"/>
      <c r="DA385" s="28"/>
      <c r="DB385" s="28"/>
      <c r="DC385" s="28"/>
      <c r="DD385" s="28"/>
      <c r="DF385" s="55"/>
      <c r="DX385" s="28"/>
    </row>
    <row r="386" spans="1:128" s="19" customFormat="1" ht="16" customHeight="1">
      <c r="A386" s="18"/>
      <c r="B386" s="17"/>
      <c r="C386" s="16"/>
      <c r="D386" s="16"/>
      <c r="E386" s="16"/>
      <c r="F386" s="16"/>
      <c r="G386" s="16"/>
      <c r="H386" s="20"/>
      <c r="I386" s="20"/>
      <c r="J386" s="20"/>
      <c r="K386" s="20"/>
      <c r="L386" s="20"/>
      <c r="M386" s="20"/>
      <c r="N386" s="20"/>
      <c r="O386" s="20"/>
      <c r="P386" s="20"/>
      <c r="Q386" s="20"/>
      <c r="R386" s="20"/>
      <c r="S386" s="20"/>
      <c r="T386"/>
      <c r="U386"/>
      <c r="V386"/>
      <c r="W386"/>
      <c r="X386"/>
      <c r="Y386"/>
      <c r="Z386" s="16"/>
      <c r="AA386" s="16"/>
      <c r="AB386" s="55"/>
      <c r="AC386"/>
      <c r="AD386"/>
      <c r="AE386"/>
      <c r="AF386"/>
      <c r="AG386"/>
      <c r="AH386"/>
      <c r="AI386"/>
      <c r="AJ386"/>
      <c r="AK386"/>
      <c r="AL386"/>
      <c r="AM386"/>
      <c r="AN386"/>
      <c r="AO386"/>
      <c r="AP386"/>
      <c r="AQ386"/>
      <c r="AS386" s="55"/>
      <c r="AT386"/>
      <c r="AU386" s="41"/>
      <c r="AV386" s="16"/>
      <c r="AW386" s="16"/>
      <c r="AX386" s="16"/>
      <c r="AY386" s="16"/>
      <c r="AZ386" s="16"/>
      <c r="BA386" s="16"/>
      <c r="BB386" s="16"/>
      <c r="BC386" s="16"/>
      <c r="BD386" s="16"/>
      <c r="BE386" s="16"/>
      <c r="BF386" s="16"/>
      <c r="BG386" s="16"/>
      <c r="BH386" s="16"/>
      <c r="BI386"/>
      <c r="BJ386"/>
      <c r="BK386"/>
      <c r="BL386"/>
      <c r="BM386"/>
      <c r="BN386"/>
      <c r="BO386"/>
      <c r="BP386"/>
      <c r="BQ386" s="55"/>
      <c r="BR386"/>
      <c r="BS386"/>
      <c r="BT386"/>
      <c r="BU386"/>
      <c r="BV386"/>
      <c r="BW386"/>
      <c r="BX386"/>
      <c r="BY386"/>
      <c r="BZ386"/>
      <c r="CA386"/>
      <c r="CB386"/>
      <c r="CC386"/>
      <c r="CD386"/>
      <c r="CE386"/>
      <c r="CF386"/>
      <c r="CH386" s="55"/>
      <c r="CI386"/>
      <c r="CJ386" s="16"/>
      <c r="CK386" s="16"/>
      <c r="CL386" s="28"/>
      <c r="CM386" s="28"/>
      <c r="CN386" s="28"/>
      <c r="CO386" s="28"/>
      <c r="CP386" s="28"/>
      <c r="CQ386" s="28"/>
      <c r="CR386" s="28"/>
      <c r="CS386" s="28"/>
      <c r="CT386" s="28"/>
      <c r="CU386" s="28"/>
      <c r="CV386" s="28"/>
      <c r="CW386" s="28"/>
      <c r="CX386" s="28"/>
      <c r="CY386" s="28"/>
      <c r="CZ386" s="28"/>
      <c r="DA386" s="28"/>
      <c r="DB386" s="28"/>
      <c r="DC386" s="28"/>
      <c r="DD386" s="28"/>
      <c r="DF386" s="55"/>
      <c r="DX386" s="28"/>
    </row>
    <row r="387" spans="1:128" s="19" customFormat="1" ht="16" customHeight="1">
      <c r="A387" s="18"/>
      <c r="B387" s="17"/>
      <c r="C387" s="16"/>
      <c r="D387" s="16"/>
      <c r="E387" s="16"/>
      <c r="F387" s="16"/>
      <c r="G387" s="16"/>
      <c r="H387" s="20"/>
      <c r="I387" s="20"/>
      <c r="J387" s="20"/>
      <c r="K387" s="20"/>
      <c r="L387" s="20"/>
      <c r="M387" s="20"/>
      <c r="N387" s="20"/>
      <c r="O387" s="20"/>
      <c r="P387" s="20"/>
      <c r="Q387" s="20"/>
      <c r="R387" s="20"/>
      <c r="S387" s="20"/>
      <c r="T387"/>
      <c r="U387"/>
      <c r="V387"/>
      <c r="W387"/>
      <c r="X387"/>
      <c r="Y387"/>
      <c r="Z387" s="16"/>
      <c r="AA387" s="16"/>
      <c r="AB387" s="55"/>
      <c r="AC387"/>
      <c r="AD387"/>
      <c r="AE387"/>
      <c r="AF387"/>
      <c r="AG387"/>
      <c r="AH387"/>
      <c r="AI387"/>
      <c r="AJ387"/>
      <c r="AK387"/>
      <c r="AL387"/>
      <c r="AM387"/>
      <c r="AN387"/>
      <c r="AO387"/>
      <c r="AP387"/>
      <c r="AQ387"/>
      <c r="AS387" s="55"/>
      <c r="AT387"/>
      <c r="AU387" s="41"/>
      <c r="AV387" s="16"/>
      <c r="AW387" s="16"/>
      <c r="AX387" s="16"/>
      <c r="AY387" s="16"/>
      <c r="AZ387" s="16"/>
      <c r="BA387" s="16"/>
      <c r="BB387" s="16"/>
      <c r="BC387" s="16"/>
      <c r="BD387" s="16"/>
      <c r="BE387" s="16"/>
      <c r="BF387" s="16"/>
      <c r="BG387" s="16"/>
      <c r="BH387" s="16"/>
      <c r="BI387"/>
      <c r="BJ387"/>
      <c r="BK387"/>
      <c r="BL387"/>
      <c r="BM387"/>
      <c r="BN387"/>
      <c r="BO387"/>
      <c r="BP387"/>
      <c r="BQ387" s="55"/>
      <c r="BR387"/>
      <c r="BS387"/>
      <c r="BT387"/>
      <c r="BU387"/>
      <c r="BV387"/>
      <c r="BW387"/>
      <c r="BX387"/>
      <c r="BY387"/>
      <c r="BZ387"/>
      <c r="CA387"/>
      <c r="CB387"/>
      <c r="CC387"/>
      <c r="CD387"/>
      <c r="CE387"/>
      <c r="CF387"/>
      <c r="CH387" s="55"/>
      <c r="CI387"/>
      <c r="CJ387" s="16"/>
      <c r="CK387" s="16"/>
      <c r="CL387" s="28"/>
      <c r="CM387" s="28"/>
      <c r="CN387" s="28"/>
      <c r="CO387" s="28"/>
      <c r="CP387" s="28"/>
      <c r="CQ387" s="28"/>
      <c r="CR387" s="28"/>
      <c r="CS387" s="28"/>
      <c r="CT387" s="28"/>
      <c r="CU387" s="28"/>
      <c r="CV387" s="28"/>
      <c r="CW387" s="28"/>
      <c r="CX387" s="28"/>
      <c r="CY387" s="28"/>
      <c r="CZ387" s="28"/>
      <c r="DA387" s="28"/>
      <c r="DB387" s="28"/>
      <c r="DC387" s="28"/>
      <c r="DD387" s="28"/>
      <c r="DF387" s="55"/>
      <c r="DX387" s="28"/>
    </row>
    <row r="388" spans="1:128" s="19" customFormat="1" ht="16" customHeight="1">
      <c r="A388" s="18"/>
      <c r="B388" s="17"/>
      <c r="C388" s="16"/>
      <c r="D388" s="16"/>
      <c r="E388" s="16"/>
      <c r="F388" s="16"/>
      <c r="G388" s="16"/>
      <c r="H388" s="20"/>
      <c r="I388" s="20"/>
      <c r="J388" s="20"/>
      <c r="K388" s="20"/>
      <c r="L388" s="20"/>
      <c r="M388" s="20"/>
      <c r="N388" s="20"/>
      <c r="O388" s="20"/>
      <c r="P388" s="20"/>
      <c r="Q388" s="20"/>
      <c r="R388" s="20"/>
      <c r="S388" s="20"/>
      <c r="T388"/>
      <c r="U388"/>
      <c r="V388"/>
      <c r="W388"/>
      <c r="X388"/>
      <c r="Y388"/>
      <c r="Z388" s="16"/>
      <c r="AA388" s="16"/>
      <c r="AB388" s="55"/>
      <c r="AC388"/>
      <c r="AD388"/>
      <c r="AE388"/>
      <c r="AF388"/>
      <c r="AG388"/>
      <c r="AH388"/>
      <c r="AI388"/>
      <c r="AJ388"/>
      <c r="AK388"/>
      <c r="AL388"/>
      <c r="AM388"/>
      <c r="AN388"/>
      <c r="AO388"/>
      <c r="AP388"/>
      <c r="AQ388"/>
      <c r="AS388" s="55"/>
      <c r="AT388"/>
      <c r="AU388" s="41"/>
      <c r="AV388" s="16"/>
      <c r="AW388" s="16"/>
      <c r="AX388" s="16"/>
      <c r="AY388" s="16"/>
      <c r="AZ388" s="16"/>
      <c r="BA388" s="16"/>
      <c r="BB388" s="16"/>
      <c r="BC388" s="16"/>
      <c r="BD388" s="16"/>
      <c r="BE388" s="16"/>
      <c r="BF388" s="16"/>
      <c r="BG388" s="16"/>
      <c r="BH388" s="16"/>
      <c r="BI388"/>
      <c r="BJ388"/>
      <c r="BK388"/>
      <c r="BL388"/>
      <c r="BM388"/>
      <c r="BN388"/>
      <c r="BO388"/>
      <c r="BP388"/>
      <c r="BQ388" s="55"/>
      <c r="BR388"/>
      <c r="BS388"/>
      <c r="BT388"/>
      <c r="BU388"/>
      <c r="BV388"/>
      <c r="BW388"/>
      <c r="BX388"/>
      <c r="BY388"/>
      <c r="BZ388"/>
      <c r="CA388"/>
      <c r="CB388"/>
      <c r="CC388"/>
      <c r="CD388"/>
      <c r="CE388"/>
      <c r="CF388"/>
      <c r="CH388" s="55"/>
      <c r="CI388"/>
      <c r="CJ388" s="16"/>
      <c r="CK388" s="16"/>
      <c r="CL388" s="28"/>
      <c r="CM388" s="28"/>
      <c r="CN388" s="28"/>
      <c r="CO388" s="28"/>
      <c r="CP388" s="28"/>
      <c r="CQ388" s="28"/>
      <c r="CR388" s="28"/>
      <c r="CS388" s="28"/>
      <c r="CT388" s="28"/>
      <c r="CU388" s="28"/>
      <c r="CV388" s="28"/>
      <c r="CW388" s="28"/>
      <c r="CX388" s="28"/>
      <c r="CY388" s="28"/>
      <c r="CZ388" s="28"/>
      <c r="DA388" s="28"/>
      <c r="DB388" s="28"/>
      <c r="DC388" s="28"/>
      <c r="DD388" s="28"/>
      <c r="DF388" s="55"/>
      <c r="DX388" s="28"/>
    </row>
    <row r="389" spans="1:128" s="19" customFormat="1" ht="16" customHeight="1">
      <c r="A389" s="18"/>
      <c r="B389" s="17"/>
      <c r="C389" s="16"/>
      <c r="D389" s="16"/>
      <c r="E389" s="16"/>
      <c r="F389" s="16"/>
      <c r="G389" s="16"/>
      <c r="H389" s="20"/>
      <c r="I389" s="20"/>
      <c r="J389" s="20"/>
      <c r="K389" s="20"/>
      <c r="L389" s="20"/>
      <c r="M389" s="20"/>
      <c r="N389" s="20"/>
      <c r="O389" s="20"/>
      <c r="P389" s="20"/>
      <c r="Q389" s="20"/>
      <c r="R389" s="20"/>
      <c r="S389" s="20"/>
      <c r="T389"/>
      <c r="U389"/>
      <c r="V389"/>
      <c r="W389"/>
      <c r="X389"/>
      <c r="Y389"/>
      <c r="Z389" s="16"/>
      <c r="AA389" s="16"/>
      <c r="AB389" s="55"/>
      <c r="AC389"/>
      <c r="AD389"/>
      <c r="AE389"/>
      <c r="AF389"/>
      <c r="AG389"/>
      <c r="AH389"/>
      <c r="AI389"/>
      <c r="AJ389"/>
      <c r="AK389"/>
      <c r="AL389"/>
      <c r="AM389"/>
      <c r="AN389"/>
      <c r="AO389"/>
      <c r="AP389"/>
      <c r="AQ389"/>
      <c r="AS389" s="55"/>
      <c r="AT389"/>
      <c r="AU389" s="41"/>
      <c r="AV389" s="16"/>
      <c r="AW389" s="16"/>
      <c r="AX389" s="16"/>
      <c r="AY389" s="16"/>
      <c r="AZ389" s="16"/>
      <c r="BA389" s="16"/>
      <c r="BB389" s="16"/>
      <c r="BC389" s="16"/>
      <c r="BD389" s="16"/>
      <c r="BE389" s="16"/>
      <c r="BF389" s="16"/>
      <c r="BG389" s="16"/>
      <c r="BH389" s="16"/>
      <c r="BI389"/>
      <c r="BJ389"/>
      <c r="BK389"/>
      <c r="BL389"/>
      <c r="BM389"/>
      <c r="BN389"/>
      <c r="BO389"/>
      <c r="BP389"/>
      <c r="BQ389" s="55"/>
      <c r="BR389"/>
      <c r="BS389"/>
      <c r="BT389"/>
      <c r="BU389"/>
      <c r="BV389"/>
      <c r="BW389"/>
      <c r="BX389"/>
      <c r="BY389"/>
      <c r="BZ389"/>
      <c r="CA389"/>
      <c r="CB389"/>
      <c r="CC389"/>
      <c r="CD389"/>
      <c r="CE389"/>
      <c r="CF389"/>
      <c r="CH389" s="55"/>
      <c r="CI389"/>
      <c r="CJ389" s="16"/>
      <c r="CK389" s="16"/>
      <c r="CL389" s="28"/>
      <c r="CM389" s="28"/>
      <c r="CN389" s="28"/>
      <c r="CO389" s="28"/>
      <c r="CP389" s="28"/>
      <c r="CQ389" s="28"/>
      <c r="CR389" s="28"/>
      <c r="CS389" s="28"/>
      <c r="CT389" s="28"/>
      <c r="CU389" s="28"/>
      <c r="CV389" s="28"/>
      <c r="CW389" s="28"/>
      <c r="CX389" s="28"/>
      <c r="CY389" s="28"/>
      <c r="CZ389" s="28"/>
      <c r="DA389" s="28"/>
      <c r="DB389" s="28"/>
      <c r="DC389" s="28"/>
      <c r="DD389" s="28"/>
      <c r="DF389" s="55"/>
      <c r="DX389" s="28"/>
    </row>
    <row r="390" spans="1:128" s="19" customFormat="1" ht="16" customHeight="1">
      <c r="A390" s="18"/>
      <c r="B390" s="17"/>
      <c r="C390" s="16"/>
      <c r="D390" s="16"/>
      <c r="E390" s="16"/>
      <c r="F390" s="16"/>
      <c r="G390" s="16"/>
      <c r="H390" s="20"/>
      <c r="I390" s="20"/>
      <c r="J390" s="20"/>
      <c r="K390" s="20"/>
      <c r="L390" s="20"/>
      <c r="M390" s="20"/>
      <c r="N390" s="20"/>
      <c r="O390" s="20"/>
      <c r="P390" s="20"/>
      <c r="Q390" s="20"/>
      <c r="R390" s="20"/>
      <c r="S390" s="20"/>
      <c r="T390"/>
      <c r="U390"/>
      <c r="V390"/>
      <c r="W390"/>
      <c r="X390"/>
      <c r="Y390"/>
      <c r="Z390" s="16"/>
      <c r="AA390" s="16"/>
      <c r="AB390" s="55"/>
      <c r="AC390"/>
      <c r="AD390"/>
      <c r="AE390"/>
      <c r="AF390"/>
      <c r="AG390"/>
      <c r="AH390"/>
      <c r="AI390"/>
      <c r="AJ390"/>
      <c r="AK390"/>
      <c r="AL390"/>
      <c r="AM390"/>
      <c r="AN390"/>
      <c r="AO390"/>
      <c r="AP390"/>
      <c r="AQ390"/>
      <c r="AS390" s="55"/>
      <c r="AT390"/>
      <c r="AU390" s="41"/>
      <c r="AV390" s="16"/>
      <c r="AW390" s="16"/>
      <c r="AX390" s="16"/>
      <c r="AY390" s="16"/>
      <c r="AZ390" s="16"/>
      <c r="BA390" s="16"/>
      <c r="BB390" s="16"/>
      <c r="BC390" s="16"/>
      <c r="BD390" s="16"/>
      <c r="BE390" s="16"/>
      <c r="BF390" s="16"/>
      <c r="BG390" s="16"/>
      <c r="BH390" s="16"/>
      <c r="BI390"/>
      <c r="BJ390"/>
      <c r="BK390"/>
      <c r="BL390"/>
      <c r="BM390"/>
      <c r="BN390"/>
      <c r="BO390"/>
      <c r="BP390"/>
      <c r="BQ390" s="55"/>
      <c r="BR390"/>
      <c r="BS390"/>
      <c r="BT390"/>
      <c r="BU390"/>
      <c r="BV390"/>
      <c r="BW390"/>
      <c r="BX390"/>
      <c r="BY390"/>
      <c r="BZ390"/>
      <c r="CA390"/>
      <c r="CB390"/>
      <c r="CC390"/>
      <c r="CD390"/>
      <c r="CE390"/>
      <c r="CF390"/>
      <c r="CH390" s="55"/>
      <c r="CI390"/>
      <c r="CJ390" s="16"/>
      <c r="CK390" s="16"/>
      <c r="CL390" s="28"/>
      <c r="CM390" s="28"/>
      <c r="CN390" s="28"/>
      <c r="CO390" s="28"/>
      <c r="CP390" s="28"/>
      <c r="CQ390" s="28"/>
      <c r="CR390" s="28"/>
      <c r="CS390" s="28"/>
      <c r="CT390" s="28"/>
      <c r="CU390" s="28"/>
      <c r="CV390" s="28"/>
      <c r="CW390" s="28"/>
      <c r="CX390" s="28"/>
      <c r="CY390" s="28"/>
      <c r="CZ390" s="28"/>
      <c r="DA390" s="28"/>
      <c r="DB390" s="28"/>
      <c r="DC390" s="28"/>
      <c r="DD390" s="28"/>
      <c r="DF390" s="55"/>
      <c r="DX390" s="28"/>
    </row>
    <row r="391" spans="1:128" s="19" customFormat="1" ht="16" customHeight="1">
      <c r="A391" s="18"/>
      <c r="B391" s="17"/>
      <c r="C391" s="16"/>
      <c r="D391" s="16"/>
      <c r="E391" s="16"/>
      <c r="F391" s="16"/>
      <c r="G391" s="16"/>
      <c r="H391" s="20"/>
      <c r="I391" s="20"/>
      <c r="J391" s="20"/>
      <c r="K391" s="20"/>
      <c r="L391" s="20"/>
      <c r="M391" s="20"/>
      <c r="N391" s="20"/>
      <c r="O391" s="20"/>
      <c r="P391" s="20"/>
      <c r="Q391" s="20"/>
      <c r="R391" s="20"/>
      <c r="S391" s="20"/>
      <c r="T391"/>
      <c r="U391"/>
      <c r="V391"/>
      <c r="W391"/>
      <c r="X391"/>
      <c r="Y391"/>
      <c r="Z391" s="16"/>
      <c r="AA391" s="16"/>
      <c r="AB391" s="55"/>
      <c r="AC391"/>
      <c r="AD391"/>
      <c r="AE391"/>
      <c r="AF391"/>
      <c r="AG391"/>
      <c r="AH391"/>
      <c r="AI391"/>
      <c r="AJ391"/>
      <c r="AK391"/>
      <c r="AL391"/>
      <c r="AM391"/>
      <c r="AN391"/>
      <c r="AO391"/>
      <c r="AP391"/>
      <c r="AQ391"/>
      <c r="AS391" s="55"/>
      <c r="AT391"/>
      <c r="AU391" s="41"/>
      <c r="AV391" s="16"/>
      <c r="AW391" s="16"/>
      <c r="AX391" s="16"/>
      <c r="AY391" s="16"/>
      <c r="AZ391" s="16"/>
      <c r="BA391" s="16"/>
      <c r="BB391" s="16"/>
      <c r="BC391" s="16"/>
      <c r="BD391" s="16"/>
      <c r="BE391" s="16"/>
      <c r="BF391" s="16"/>
      <c r="BG391" s="16"/>
      <c r="BH391" s="16"/>
      <c r="BI391"/>
      <c r="BJ391"/>
      <c r="BK391"/>
      <c r="BL391"/>
      <c r="BM391"/>
      <c r="BN391"/>
      <c r="BO391"/>
      <c r="BP391"/>
      <c r="BQ391" s="55"/>
      <c r="BR391"/>
      <c r="BS391"/>
      <c r="BT391"/>
      <c r="BU391"/>
      <c r="BV391"/>
      <c r="BW391"/>
      <c r="BX391"/>
      <c r="BY391"/>
      <c r="BZ391"/>
      <c r="CA391"/>
      <c r="CB391"/>
      <c r="CC391"/>
      <c r="CD391"/>
      <c r="CE391"/>
      <c r="CF391"/>
      <c r="CH391" s="55"/>
      <c r="CI391"/>
      <c r="CJ391" s="16"/>
      <c r="CK391" s="16"/>
      <c r="CL391" s="28"/>
      <c r="CM391" s="28"/>
      <c r="CN391" s="28"/>
      <c r="CO391" s="28"/>
      <c r="CP391" s="28"/>
      <c r="CQ391" s="28"/>
      <c r="CR391" s="28"/>
      <c r="CS391" s="28"/>
      <c r="CT391" s="28"/>
      <c r="CU391" s="28"/>
      <c r="CV391" s="28"/>
      <c r="CW391" s="28"/>
      <c r="CX391" s="28"/>
      <c r="CY391" s="28"/>
      <c r="CZ391" s="28"/>
      <c r="DA391" s="28"/>
      <c r="DB391" s="28"/>
      <c r="DC391" s="28"/>
      <c r="DD391" s="28"/>
      <c r="DF391" s="55"/>
      <c r="DX391" s="28"/>
    </row>
    <row r="392" spans="1:128" s="19" customFormat="1" ht="16" customHeight="1">
      <c r="A392" s="18"/>
      <c r="B392" s="17"/>
      <c r="C392" s="16"/>
      <c r="D392" s="16"/>
      <c r="E392" s="16"/>
      <c r="F392" s="16"/>
      <c r="G392" s="16"/>
      <c r="H392" s="20"/>
      <c r="I392" s="20"/>
      <c r="J392" s="20"/>
      <c r="K392" s="20"/>
      <c r="L392" s="20"/>
      <c r="M392" s="20"/>
      <c r="N392" s="20"/>
      <c r="O392" s="20"/>
      <c r="P392" s="20"/>
      <c r="Q392" s="20"/>
      <c r="R392" s="20"/>
      <c r="S392" s="20"/>
      <c r="T392"/>
      <c r="U392"/>
      <c r="V392"/>
      <c r="W392"/>
      <c r="X392"/>
      <c r="Y392"/>
      <c r="Z392" s="16"/>
      <c r="AA392" s="16"/>
      <c r="AB392" s="55"/>
      <c r="AC392"/>
      <c r="AD392"/>
      <c r="AE392"/>
      <c r="AF392"/>
      <c r="AG392"/>
      <c r="AH392"/>
      <c r="AI392"/>
      <c r="AJ392"/>
      <c r="AK392"/>
      <c r="AL392"/>
      <c r="AM392"/>
      <c r="AN392"/>
      <c r="AO392"/>
      <c r="AP392"/>
      <c r="AQ392"/>
      <c r="AS392" s="55"/>
      <c r="AT392"/>
      <c r="AU392" s="41"/>
      <c r="AV392" s="16"/>
      <c r="AW392" s="16"/>
      <c r="AX392" s="16"/>
      <c r="AY392" s="16"/>
      <c r="AZ392" s="16"/>
      <c r="BA392" s="16"/>
      <c r="BB392" s="16"/>
      <c r="BC392" s="16"/>
      <c r="BD392" s="16"/>
      <c r="BE392" s="16"/>
      <c r="BF392" s="16"/>
      <c r="BG392" s="16"/>
      <c r="BH392" s="16"/>
      <c r="BI392"/>
      <c r="BJ392"/>
      <c r="BK392"/>
      <c r="BL392"/>
      <c r="BM392"/>
      <c r="BN392"/>
      <c r="BO392"/>
      <c r="BP392"/>
      <c r="BQ392" s="55"/>
      <c r="BR392"/>
      <c r="BS392"/>
      <c r="BT392"/>
      <c r="BU392"/>
      <c r="BV392"/>
      <c r="BW392"/>
      <c r="BX392"/>
      <c r="BY392"/>
      <c r="BZ392"/>
      <c r="CA392"/>
      <c r="CB392"/>
      <c r="CC392"/>
      <c r="CD392"/>
      <c r="CE392"/>
      <c r="CF392"/>
      <c r="CH392" s="55"/>
      <c r="CI392"/>
      <c r="CJ392" s="16"/>
      <c r="CK392" s="16"/>
      <c r="CL392" s="28"/>
      <c r="CM392" s="28"/>
      <c r="CN392" s="28"/>
      <c r="CO392" s="28"/>
      <c r="CP392" s="28"/>
      <c r="CQ392" s="28"/>
      <c r="CR392" s="28"/>
      <c r="CS392" s="28"/>
      <c r="CT392" s="28"/>
      <c r="CU392" s="28"/>
      <c r="CV392" s="28"/>
      <c r="CW392" s="28"/>
      <c r="CX392" s="28"/>
      <c r="CY392" s="28"/>
      <c r="CZ392" s="28"/>
      <c r="DA392" s="28"/>
      <c r="DB392" s="28"/>
      <c r="DC392" s="28"/>
      <c r="DD392" s="28"/>
      <c r="DF392" s="55"/>
      <c r="DX392" s="28"/>
    </row>
    <row r="393" spans="1:128" s="19" customFormat="1" ht="16" customHeight="1">
      <c r="A393" s="18"/>
      <c r="B393" s="17"/>
      <c r="C393" s="16"/>
      <c r="D393" s="16"/>
      <c r="E393" s="16"/>
      <c r="F393" s="16"/>
      <c r="G393" s="16"/>
      <c r="H393" s="20"/>
      <c r="I393" s="20"/>
      <c r="J393" s="20"/>
      <c r="K393" s="20"/>
      <c r="L393" s="20"/>
      <c r="M393" s="20"/>
      <c r="N393" s="20"/>
      <c r="O393" s="20"/>
      <c r="P393" s="20"/>
      <c r="Q393" s="20"/>
      <c r="R393" s="20"/>
      <c r="S393" s="20"/>
      <c r="T393"/>
      <c r="U393"/>
      <c r="V393"/>
      <c r="W393"/>
      <c r="X393"/>
      <c r="Y393"/>
      <c r="Z393" s="16"/>
      <c r="AA393" s="16"/>
      <c r="AB393" s="55"/>
      <c r="AC393"/>
      <c r="AD393"/>
      <c r="AE393"/>
      <c r="AF393"/>
      <c r="AG393"/>
      <c r="AH393"/>
      <c r="AI393"/>
      <c r="AJ393"/>
      <c r="AK393"/>
      <c r="AL393"/>
      <c r="AM393"/>
      <c r="AN393"/>
      <c r="AO393"/>
      <c r="AP393"/>
      <c r="AQ393"/>
      <c r="AS393" s="55"/>
      <c r="AT393"/>
      <c r="AU393" s="41"/>
      <c r="AV393" s="16"/>
      <c r="AW393" s="16"/>
      <c r="AX393" s="16"/>
      <c r="AY393" s="16"/>
      <c r="AZ393" s="16"/>
      <c r="BA393" s="16"/>
      <c r="BB393" s="16"/>
      <c r="BC393" s="16"/>
      <c r="BD393" s="16"/>
      <c r="BE393" s="16"/>
      <c r="BF393" s="16"/>
      <c r="BG393" s="16"/>
      <c r="BH393" s="16"/>
      <c r="BI393"/>
      <c r="BJ393"/>
      <c r="BK393"/>
      <c r="BL393"/>
      <c r="BM393"/>
      <c r="BN393"/>
      <c r="BO393"/>
      <c r="BP393"/>
      <c r="BQ393" s="55"/>
      <c r="BR393"/>
      <c r="BS393"/>
      <c r="BT393"/>
      <c r="BU393"/>
      <c r="BV393"/>
      <c r="BW393"/>
      <c r="BX393"/>
      <c r="BY393"/>
      <c r="BZ393"/>
      <c r="CA393"/>
      <c r="CB393"/>
      <c r="CC393"/>
      <c r="CD393"/>
      <c r="CE393"/>
      <c r="CF393"/>
      <c r="CH393" s="55"/>
      <c r="CI393"/>
      <c r="CJ393" s="16"/>
      <c r="CK393" s="16"/>
      <c r="CL393" s="28"/>
      <c r="CM393" s="28"/>
      <c r="CN393" s="28"/>
      <c r="CO393" s="28"/>
      <c r="CP393" s="28"/>
      <c r="CQ393" s="28"/>
      <c r="CR393" s="28"/>
      <c r="CS393" s="28"/>
      <c r="CT393" s="28"/>
      <c r="CU393" s="28"/>
      <c r="CV393" s="28"/>
      <c r="CW393" s="28"/>
      <c r="CX393" s="28"/>
      <c r="CY393" s="28"/>
      <c r="CZ393" s="28"/>
      <c r="DA393" s="28"/>
      <c r="DB393" s="28"/>
      <c r="DC393" s="28"/>
      <c r="DD393" s="28"/>
      <c r="DF393" s="55"/>
      <c r="DX393" s="28"/>
    </row>
    <row r="394" spans="1:128" s="19" customFormat="1" ht="16" customHeight="1">
      <c r="A394" s="18"/>
      <c r="B394" s="17"/>
      <c r="C394" s="16"/>
      <c r="D394" s="16"/>
      <c r="E394" s="16"/>
      <c r="F394" s="16"/>
      <c r="G394" s="16"/>
      <c r="H394" s="20"/>
      <c r="I394" s="20"/>
      <c r="J394" s="20"/>
      <c r="K394" s="20"/>
      <c r="L394" s="20"/>
      <c r="M394" s="20"/>
      <c r="N394" s="20"/>
      <c r="O394" s="20"/>
      <c r="P394" s="20"/>
      <c r="Q394" s="20"/>
      <c r="R394" s="20"/>
      <c r="S394" s="20"/>
      <c r="T394"/>
      <c r="U394"/>
      <c r="V394"/>
      <c r="W394"/>
      <c r="X394"/>
      <c r="Y394"/>
      <c r="Z394" s="16"/>
      <c r="AA394" s="16"/>
      <c r="AB394" s="55"/>
      <c r="AC394"/>
      <c r="AD394"/>
      <c r="AE394"/>
      <c r="AF394"/>
      <c r="AG394"/>
      <c r="AH394"/>
      <c r="AI394"/>
      <c r="AJ394"/>
      <c r="AK394"/>
      <c r="AL394"/>
      <c r="AM394"/>
      <c r="AN394"/>
      <c r="AO394"/>
      <c r="AP394"/>
      <c r="AQ394"/>
      <c r="AS394" s="55"/>
      <c r="AT394"/>
      <c r="AU394" s="41"/>
      <c r="AV394" s="16"/>
      <c r="AW394" s="16"/>
      <c r="AX394" s="16"/>
      <c r="AY394" s="16"/>
      <c r="AZ394" s="16"/>
      <c r="BA394" s="16"/>
      <c r="BB394" s="16"/>
      <c r="BC394" s="16"/>
      <c r="BD394" s="16"/>
      <c r="BE394" s="16"/>
      <c r="BF394" s="16"/>
      <c r="BG394" s="16"/>
      <c r="BH394" s="16"/>
      <c r="BI394"/>
      <c r="BJ394"/>
      <c r="BK394"/>
      <c r="BL394"/>
      <c r="BM394"/>
      <c r="BN394"/>
      <c r="BO394"/>
      <c r="BP394"/>
      <c r="BQ394" s="55"/>
      <c r="BR394"/>
      <c r="BS394"/>
      <c r="BT394"/>
      <c r="BU394"/>
      <c r="BV394"/>
      <c r="BW394"/>
      <c r="BX394"/>
      <c r="BY394"/>
      <c r="BZ394"/>
      <c r="CA394"/>
      <c r="CB394"/>
      <c r="CC394"/>
      <c r="CD394"/>
      <c r="CE394"/>
      <c r="CF394"/>
      <c r="CH394" s="55"/>
      <c r="CI394"/>
      <c r="CJ394" s="16"/>
      <c r="CK394" s="16"/>
      <c r="CL394" s="28"/>
      <c r="CM394" s="28"/>
      <c r="CN394" s="28"/>
      <c r="CO394" s="28"/>
      <c r="CP394" s="28"/>
      <c r="CQ394" s="28"/>
      <c r="CR394" s="28"/>
      <c r="CS394" s="28"/>
      <c r="CT394" s="28"/>
      <c r="CU394" s="28"/>
      <c r="CV394" s="28"/>
      <c r="CW394" s="28"/>
      <c r="CX394" s="28"/>
      <c r="CY394" s="28"/>
      <c r="CZ394" s="28"/>
      <c r="DA394" s="28"/>
      <c r="DB394" s="28"/>
      <c r="DC394" s="28"/>
      <c r="DD394" s="28"/>
      <c r="DF394" s="55"/>
      <c r="DX394" s="28"/>
    </row>
    <row r="395" spans="1:128" s="19" customFormat="1" ht="16" customHeight="1">
      <c r="A395" s="18"/>
      <c r="B395" s="17"/>
      <c r="C395" s="16"/>
      <c r="D395" s="16"/>
      <c r="E395" s="16"/>
      <c r="F395" s="16"/>
      <c r="G395" s="16"/>
      <c r="H395" s="20"/>
      <c r="I395" s="20"/>
      <c r="J395" s="20"/>
      <c r="K395" s="20"/>
      <c r="L395" s="20"/>
      <c r="M395" s="20"/>
      <c r="N395" s="20"/>
      <c r="O395" s="20"/>
      <c r="P395" s="20"/>
      <c r="Q395" s="20"/>
      <c r="R395" s="20"/>
      <c r="S395" s="20"/>
      <c r="T395"/>
      <c r="U395"/>
      <c r="V395"/>
      <c r="W395"/>
      <c r="X395"/>
      <c r="Y395"/>
      <c r="Z395" s="16"/>
      <c r="AA395" s="16"/>
      <c r="AB395" s="55"/>
      <c r="AC395"/>
      <c r="AD395"/>
      <c r="AE395"/>
      <c r="AF395"/>
      <c r="AG395"/>
      <c r="AH395"/>
      <c r="AI395"/>
      <c r="AJ395"/>
      <c r="AK395"/>
      <c r="AL395"/>
      <c r="AM395"/>
      <c r="AN395"/>
      <c r="AO395"/>
      <c r="AP395"/>
      <c r="AQ395"/>
      <c r="AS395" s="55"/>
      <c r="AT395"/>
      <c r="AU395" s="41"/>
      <c r="AV395" s="16"/>
      <c r="AW395" s="16"/>
      <c r="AX395" s="16"/>
      <c r="AY395" s="16"/>
      <c r="AZ395" s="16"/>
      <c r="BA395" s="16"/>
      <c r="BB395" s="16"/>
      <c r="BC395" s="16"/>
      <c r="BD395" s="16"/>
      <c r="BE395" s="16"/>
      <c r="BF395" s="16"/>
      <c r="BG395" s="16"/>
      <c r="BH395" s="16"/>
      <c r="BI395"/>
      <c r="BJ395"/>
      <c r="BK395"/>
      <c r="BL395"/>
      <c r="BM395"/>
      <c r="BN395"/>
      <c r="BO395"/>
      <c r="BP395"/>
      <c r="BQ395" s="55"/>
      <c r="BR395"/>
      <c r="BS395"/>
      <c r="BT395"/>
      <c r="BU395"/>
      <c r="BV395"/>
      <c r="BW395"/>
      <c r="BX395"/>
      <c r="BY395"/>
      <c r="BZ395"/>
      <c r="CA395"/>
      <c r="CB395"/>
      <c r="CC395"/>
      <c r="CD395"/>
      <c r="CE395"/>
      <c r="CF395"/>
      <c r="CH395" s="55"/>
      <c r="CI395"/>
      <c r="CJ395" s="16"/>
      <c r="CK395" s="16"/>
      <c r="CL395" s="28"/>
      <c r="CM395" s="28"/>
      <c r="CN395" s="28"/>
      <c r="CO395" s="28"/>
      <c r="CP395" s="28"/>
      <c r="CQ395" s="28"/>
      <c r="CR395" s="28"/>
      <c r="CS395" s="28"/>
      <c r="CT395" s="28"/>
      <c r="CU395" s="28"/>
      <c r="CV395" s="28"/>
      <c r="CW395" s="28"/>
      <c r="CX395" s="28"/>
      <c r="CY395" s="28"/>
      <c r="CZ395" s="28"/>
      <c r="DA395" s="28"/>
      <c r="DB395" s="28"/>
      <c r="DC395" s="28"/>
      <c r="DD395" s="28"/>
      <c r="DF395" s="55"/>
      <c r="DX395" s="28"/>
    </row>
    <row r="396" spans="1:128" s="19" customFormat="1" ht="16" customHeight="1">
      <c r="A396" s="18"/>
      <c r="B396" s="17"/>
      <c r="C396" s="16"/>
      <c r="D396" s="16"/>
      <c r="E396" s="16"/>
      <c r="F396" s="16"/>
      <c r="G396" s="16"/>
      <c r="H396" s="20"/>
      <c r="I396" s="20"/>
      <c r="J396" s="20"/>
      <c r="K396" s="20"/>
      <c r="L396" s="20"/>
      <c r="M396" s="20"/>
      <c r="N396" s="20"/>
      <c r="O396" s="20"/>
      <c r="P396" s="20"/>
      <c r="Q396" s="20"/>
      <c r="R396" s="20"/>
      <c r="S396" s="20"/>
      <c r="T396"/>
      <c r="U396"/>
      <c r="V396"/>
      <c r="W396"/>
      <c r="X396"/>
      <c r="Y396"/>
      <c r="Z396" s="16"/>
      <c r="AA396" s="16"/>
      <c r="AB396" s="55"/>
      <c r="AC396"/>
      <c r="AD396"/>
      <c r="AE396"/>
      <c r="AF396"/>
      <c r="AG396"/>
      <c r="AH396"/>
      <c r="AI396"/>
      <c r="AJ396"/>
      <c r="AK396"/>
      <c r="AL396"/>
      <c r="AM396"/>
      <c r="AN396"/>
      <c r="AO396"/>
      <c r="AP396"/>
      <c r="AQ396"/>
      <c r="AS396" s="55"/>
      <c r="AT396"/>
      <c r="AU396" s="41"/>
      <c r="AV396" s="16"/>
      <c r="AW396" s="16"/>
      <c r="AX396" s="16"/>
      <c r="AY396" s="16"/>
      <c r="AZ396" s="16"/>
      <c r="BA396" s="16"/>
      <c r="BB396" s="16"/>
      <c r="BC396" s="16"/>
      <c r="BD396" s="16"/>
      <c r="BE396" s="16"/>
      <c r="BF396" s="16"/>
      <c r="BG396" s="16"/>
      <c r="BH396" s="16"/>
      <c r="BI396"/>
      <c r="BJ396"/>
      <c r="BK396"/>
      <c r="BL396"/>
      <c r="BM396"/>
      <c r="BN396"/>
      <c r="BO396"/>
      <c r="BP396"/>
      <c r="BQ396" s="55"/>
      <c r="BR396"/>
      <c r="BS396"/>
      <c r="BT396"/>
      <c r="BU396"/>
      <c r="BV396"/>
      <c r="BW396"/>
      <c r="BX396"/>
      <c r="BY396"/>
      <c r="BZ396"/>
      <c r="CA396"/>
      <c r="CB396"/>
      <c r="CC396"/>
      <c r="CD396"/>
      <c r="CE396"/>
      <c r="CF396"/>
      <c r="CH396" s="55"/>
      <c r="CI396"/>
      <c r="CJ396" s="16"/>
      <c r="CK396" s="16"/>
      <c r="CL396" s="28"/>
      <c r="CM396" s="28"/>
      <c r="CN396" s="28"/>
      <c r="CO396" s="28"/>
      <c r="CP396" s="28"/>
      <c r="CQ396" s="28"/>
      <c r="CR396" s="28"/>
      <c r="CS396" s="28"/>
      <c r="CT396" s="28"/>
      <c r="CU396" s="28"/>
      <c r="CV396" s="28"/>
      <c r="CW396" s="28"/>
      <c r="CX396" s="28"/>
      <c r="CY396" s="28"/>
      <c r="CZ396" s="28"/>
      <c r="DA396" s="28"/>
      <c r="DB396" s="28"/>
      <c r="DC396" s="28"/>
      <c r="DD396" s="28"/>
      <c r="DF396" s="55"/>
      <c r="DX396" s="28"/>
    </row>
    <row r="397" spans="1:128" s="19" customFormat="1" ht="16" customHeight="1">
      <c r="A397" s="18"/>
      <c r="B397" s="17"/>
      <c r="C397" s="16"/>
      <c r="D397" s="16"/>
      <c r="E397" s="16"/>
      <c r="F397" s="16"/>
      <c r="G397" s="16"/>
      <c r="H397" s="20"/>
      <c r="I397" s="20"/>
      <c r="J397" s="20"/>
      <c r="K397" s="20"/>
      <c r="L397" s="20"/>
      <c r="M397" s="20"/>
      <c r="N397" s="20"/>
      <c r="O397" s="20"/>
      <c r="P397" s="20"/>
      <c r="Q397" s="20"/>
      <c r="R397" s="20"/>
      <c r="S397" s="20"/>
      <c r="T397"/>
      <c r="U397"/>
      <c r="V397"/>
      <c r="W397"/>
      <c r="X397"/>
      <c r="Y397"/>
      <c r="Z397" s="16"/>
      <c r="AA397" s="16"/>
      <c r="AB397" s="55"/>
      <c r="AC397"/>
      <c r="AD397"/>
      <c r="AE397"/>
      <c r="AF397"/>
      <c r="AG397"/>
      <c r="AH397"/>
      <c r="AI397"/>
      <c r="AJ397"/>
      <c r="AK397"/>
      <c r="AL397"/>
      <c r="AM397"/>
      <c r="AN397"/>
      <c r="AO397"/>
      <c r="AP397"/>
      <c r="AQ397"/>
      <c r="AS397" s="55"/>
      <c r="AT397"/>
      <c r="AU397" s="41"/>
      <c r="AV397" s="16"/>
      <c r="AW397" s="16"/>
      <c r="AX397" s="16"/>
      <c r="AY397" s="16"/>
      <c r="AZ397" s="16"/>
      <c r="BA397" s="16"/>
      <c r="BB397" s="16"/>
      <c r="BC397" s="16"/>
      <c r="BD397" s="16"/>
      <c r="BE397" s="16"/>
      <c r="BF397" s="16"/>
      <c r="BG397" s="16"/>
      <c r="BH397" s="16"/>
      <c r="BI397"/>
      <c r="BJ397"/>
      <c r="BK397"/>
      <c r="BL397"/>
      <c r="BM397"/>
      <c r="BN397"/>
      <c r="BO397"/>
      <c r="BP397"/>
      <c r="BQ397" s="55"/>
      <c r="BR397"/>
      <c r="BS397"/>
      <c r="BT397"/>
      <c r="BU397"/>
      <c r="BV397"/>
      <c r="BW397"/>
      <c r="BX397"/>
      <c r="BY397"/>
      <c r="BZ397"/>
      <c r="CA397"/>
      <c r="CB397"/>
      <c r="CC397"/>
      <c r="CD397"/>
      <c r="CE397"/>
      <c r="CF397"/>
      <c r="CH397" s="55"/>
      <c r="CI397"/>
      <c r="CJ397" s="16"/>
      <c r="CK397" s="16"/>
      <c r="CL397" s="28"/>
      <c r="CM397" s="28"/>
      <c r="CN397" s="28"/>
      <c r="CO397" s="28"/>
      <c r="CP397" s="28"/>
      <c r="CQ397" s="28"/>
      <c r="CR397" s="28"/>
      <c r="CS397" s="28"/>
      <c r="CT397" s="28"/>
      <c r="CU397" s="28"/>
      <c r="CV397" s="28"/>
      <c r="CW397" s="28"/>
      <c r="CX397" s="28"/>
      <c r="CY397" s="28"/>
      <c r="CZ397" s="28"/>
      <c r="DA397" s="28"/>
      <c r="DB397" s="28"/>
      <c r="DC397" s="28"/>
      <c r="DD397" s="28"/>
      <c r="DF397" s="55"/>
      <c r="DX397" s="28"/>
    </row>
    <row r="398" spans="1:128" s="19" customFormat="1" ht="16" customHeight="1">
      <c r="A398" s="18"/>
      <c r="B398" s="17"/>
      <c r="C398" s="16"/>
      <c r="D398" s="16"/>
      <c r="E398" s="16"/>
      <c r="F398" s="16"/>
      <c r="G398" s="16"/>
      <c r="H398" s="20"/>
      <c r="I398" s="20"/>
      <c r="J398" s="20"/>
      <c r="K398" s="20"/>
      <c r="L398" s="20"/>
      <c r="M398" s="20"/>
      <c r="N398" s="20"/>
      <c r="O398" s="20"/>
      <c r="P398" s="20"/>
      <c r="Q398" s="20"/>
      <c r="R398" s="20"/>
      <c r="S398" s="20"/>
      <c r="T398"/>
      <c r="U398"/>
      <c r="V398"/>
      <c r="W398"/>
      <c r="X398"/>
      <c r="Y398"/>
      <c r="Z398" s="16"/>
      <c r="AA398" s="16"/>
      <c r="AB398" s="55"/>
      <c r="AC398"/>
      <c r="AD398"/>
      <c r="AE398"/>
      <c r="AF398"/>
      <c r="AG398"/>
      <c r="AH398"/>
      <c r="AI398"/>
      <c r="AJ398"/>
      <c r="AK398"/>
      <c r="AL398"/>
      <c r="AM398"/>
      <c r="AN398"/>
      <c r="AO398"/>
      <c r="AP398"/>
      <c r="AQ398"/>
      <c r="AS398" s="55"/>
      <c r="AT398"/>
      <c r="AU398" s="41"/>
      <c r="AV398" s="16"/>
      <c r="AW398" s="16"/>
      <c r="AX398" s="16"/>
      <c r="AY398" s="16"/>
      <c r="AZ398" s="16"/>
      <c r="BA398" s="16"/>
      <c r="BB398" s="16"/>
      <c r="BC398" s="16"/>
      <c r="BD398" s="16"/>
      <c r="BE398" s="16"/>
      <c r="BF398" s="16"/>
      <c r="BG398" s="16"/>
      <c r="BH398" s="16"/>
      <c r="BI398"/>
      <c r="BJ398"/>
      <c r="BK398"/>
      <c r="BL398"/>
      <c r="BM398"/>
      <c r="BN398"/>
      <c r="BO398"/>
      <c r="BP398"/>
      <c r="BQ398" s="55"/>
      <c r="BR398"/>
      <c r="BS398"/>
      <c r="BT398"/>
      <c r="BU398"/>
      <c r="BV398"/>
      <c r="BW398"/>
      <c r="BX398"/>
      <c r="BY398"/>
      <c r="BZ398"/>
      <c r="CA398"/>
      <c r="CB398"/>
      <c r="CC398"/>
      <c r="CD398"/>
      <c r="CE398"/>
      <c r="CF398"/>
      <c r="CH398" s="55"/>
      <c r="CI398"/>
      <c r="CJ398" s="16"/>
      <c r="CK398" s="16"/>
      <c r="CL398" s="28"/>
      <c r="CM398" s="28"/>
      <c r="CN398" s="28"/>
      <c r="CO398" s="28"/>
      <c r="CP398" s="28"/>
      <c r="CQ398" s="28"/>
      <c r="CR398" s="28"/>
      <c r="CS398" s="28"/>
      <c r="CT398" s="28"/>
      <c r="CU398" s="28"/>
      <c r="CV398" s="28"/>
      <c r="CW398" s="28"/>
      <c r="CX398" s="28"/>
      <c r="CY398" s="28"/>
      <c r="CZ398" s="28"/>
      <c r="DA398" s="28"/>
      <c r="DB398" s="28"/>
      <c r="DC398" s="28"/>
      <c r="DD398" s="28"/>
      <c r="DF398" s="55"/>
      <c r="DX398" s="28"/>
    </row>
    <row r="399" spans="1:128" s="19" customFormat="1" ht="16" customHeight="1">
      <c r="A399" s="18"/>
      <c r="B399" s="17"/>
      <c r="C399" s="16"/>
      <c r="D399" s="16"/>
      <c r="E399" s="16"/>
      <c r="F399" s="16"/>
      <c r="G399" s="16"/>
      <c r="H399" s="20"/>
      <c r="I399" s="20"/>
      <c r="J399" s="20"/>
      <c r="K399" s="20"/>
      <c r="L399" s="20"/>
      <c r="M399" s="20"/>
      <c r="N399" s="20"/>
      <c r="O399" s="20"/>
      <c r="P399" s="20"/>
      <c r="Q399" s="20"/>
      <c r="R399" s="20"/>
      <c r="S399" s="20"/>
      <c r="T399"/>
      <c r="U399"/>
      <c r="V399"/>
      <c r="W399"/>
      <c r="X399"/>
      <c r="Y399"/>
      <c r="Z399" s="16"/>
      <c r="AA399" s="16"/>
      <c r="AB399" s="55"/>
      <c r="AC399"/>
      <c r="AD399"/>
      <c r="AE399"/>
      <c r="AF399"/>
      <c r="AG399"/>
      <c r="AH399"/>
      <c r="AI399"/>
      <c r="AJ399"/>
      <c r="AK399"/>
      <c r="AL399"/>
      <c r="AM399"/>
      <c r="AN399"/>
      <c r="AO399"/>
      <c r="AP399"/>
      <c r="AQ399"/>
      <c r="AS399" s="55"/>
      <c r="AT399"/>
      <c r="AU399" s="41"/>
      <c r="AV399" s="16"/>
      <c r="AW399" s="16"/>
      <c r="AX399" s="16"/>
      <c r="AY399" s="16"/>
      <c r="AZ399" s="16"/>
      <c r="BA399" s="16"/>
      <c r="BB399" s="16"/>
      <c r="BC399" s="16"/>
      <c r="BD399" s="16"/>
      <c r="BE399" s="16"/>
      <c r="BF399" s="16"/>
      <c r="BG399" s="16"/>
      <c r="BH399" s="16"/>
      <c r="BI399"/>
      <c r="BJ399"/>
      <c r="BK399"/>
      <c r="BL399"/>
      <c r="BM399"/>
      <c r="BN399"/>
      <c r="BO399"/>
      <c r="BP399"/>
      <c r="BQ399" s="55"/>
      <c r="BR399"/>
      <c r="BS399"/>
      <c r="BT399"/>
      <c r="BU399"/>
      <c r="BV399"/>
      <c r="BW399"/>
      <c r="BX399"/>
      <c r="BY399"/>
      <c r="BZ399"/>
      <c r="CA399"/>
      <c r="CB399"/>
      <c r="CC399"/>
      <c r="CD399"/>
      <c r="CE399"/>
      <c r="CF399"/>
      <c r="CH399" s="55"/>
      <c r="CI399"/>
      <c r="CJ399" s="16"/>
      <c r="CK399" s="16"/>
      <c r="CL399" s="28"/>
      <c r="CM399" s="28"/>
      <c r="CN399" s="28"/>
      <c r="CO399" s="28"/>
      <c r="CP399" s="28"/>
      <c r="CQ399" s="28"/>
      <c r="CR399" s="28"/>
      <c r="CS399" s="28"/>
      <c r="CT399" s="28"/>
      <c r="CU399" s="28"/>
      <c r="CV399" s="28"/>
      <c r="CW399" s="28"/>
      <c r="CX399" s="28"/>
      <c r="CY399" s="28"/>
      <c r="CZ399" s="28"/>
      <c r="DA399" s="28"/>
      <c r="DB399" s="28"/>
      <c r="DC399" s="28"/>
      <c r="DD399" s="28"/>
      <c r="DF399" s="55"/>
      <c r="DX399" s="28"/>
    </row>
    <row r="400" spans="1:128" s="19" customFormat="1" ht="16" customHeight="1">
      <c r="A400" s="18"/>
      <c r="B400" s="17"/>
      <c r="C400" s="16"/>
      <c r="D400" s="16"/>
      <c r="E400" s="16"/>
      <c r="F400" s="16"/>
      <c r="G400" s="16"/>
      <c r="H400" s="20"/>
      <c r="I400" s="20"/>
      <c r="J400" s="20"/>
      <c r="K400" s="20"/>
      <c r="L400" s="20"/>
      <c r="M400" s="20"/>
      <c r="N400" s="20"/>
      <c r="O400" s="20"/>
      <c r="P400" s="20"/>
      <c r="Q400" s="20"/>
      <c r="R400" s="20"/>
      <c r="S400" s="20"/>
      <c r="T400"/>
      <c r="U400"/>
      <c r="V400"/>
      <c r="W400"/>
      <c r="X400"/>
      <c r="Y400"/>
      <c r="Z400" s="16"/>
      <c r="AA400" s="16"/>
      <c r="AB400" s="55"/>
      <c r="AC400"/>
      <c r="AD400"/>
      <c r="AE400"/>
      <c r="AF400"/>
      <c r="AG400"/>
      <c r="AH400"/>
      <c r="AI400"/>
      <c r="AJ400"/>
      <c r="AK400"/>
      <c r="AL400"/>
      <c r="AM400"/>
      <c r="AN400"/>
      <c r="AO400"/>
      <c r="AP400"/>
      <c r="AQ400"/>
      <c r="AS400" s="55"/>
      <c r="AT400"/>
      <c r="AU400" s="41"/>
      <c r="AV400" s="16"/>
      <c r="AW400" s="16"/>
      <c r="AX400" s="16"/>
      <c r="AY400" s="16"/>
      <c r="AZ400" s="16"/>
      <c r="BA400" s="16"/>
      <c r="BB400" s="16"/>
      <c r="BC400" s="16"/>
      <c r="BD400" s="16"/>
      <c r="BE400" s="16"/>
      <c r="BF400" s="16"/>
      <c r="BG400" s="16"/>
      <c r="BH400" s="16"/>
      <c r="BI400"/>
      <c r="BJ400"/>
      <c r="BK400"/>
      <c r="BL400"/>
      <c r="BM400"/>
      <c r="BN400"/>
      <c r="BO400"/>
      <c r="BP400"/>
      <c r="BQ400" s="55"/>
      <c r="BR400"/>
      <c r="BS400"/>
      <c r="BT400"/>
      <c r="BU400"/>
      <c r="BV400"/>
      <c r="BW400"/>
      <c r="BX400"/>
      <c r="BY400"/>
      <c r="BZ400"/>
      <c r="CA400"/>
      <c r="CB400"/>
      <c r="CC400"/>
      <c r="CD400"/>
      <c r="CE400"/>
      <c r="CF400"/>
      <c r="CH400" s="55"/>
      <c r="CI400"/>
      <c r="CJ400" s="16"/>
      <c r="CK400" s="16"/>
      <c r="CL400" s="28"/>
      <c r="CM400" s="28"/>
      <c r="CN400" s="28"/>
      <c r="CO400" s="28"/>
      <c r="CP400" s="28"/>
      <c r="CQ400" s="28"/>
      <c r="CR400" s="28"/>
      <c r="CS400" s="28"/>
      <c r="CT400" s="28"/>
      <c r="CU400" s="28"/>
      <c r="CV400" s="28"/>
      <c r="CW400" s="28"/>
      <c r="CX400" s="28"/>
      <c r="CY400" s="28"/>
      <c r="CZ400" s="28"/>
      <c r="DA400" s="28"/>
      <c r="DB400" s="28"/>
      <c r="DC400" s="28"/>
      <c r="DD400" s="28"/>
      <c r="DF400" s="55"/>
      <c r="DX400" s="28"/>
    </row>
    <row r="401" spans="1:128" s="19" customFormat="1" ht="16" customHeight="1">
      <c r="A401" s="18"/>
      <c r="B401" s="17"/>
      <c r="C401" s="16"/>
      <c r="D401" s="16"/>
      <c r="E401" s="16"/>
      <c r="F401" s="16"/>
      <c r="G401" s="16"/>
      <c r="H401" s="20"/>
      <c r="I401" s="20"/>
      <c r="J401" s="20"/>
      <c r="K401" s="20"/>
      <c r="L401" s="20"/>
      <c r="M401" s="20"/>
      <c r="N401" s="20"/>
      <c r="O401" s="20"/>
      <c r="P401" s="20"/>
      <c r="Q401" s="20"/>
      <c r="R401" s="20"/>
      <c r="S401" s="20"/>
      <c r="T401"/>
      <c r="U401"/>
      <c r="V401"/>
      <c r="W401"/>
      <c r="X401"/>
      <c r="Y401"/>
      <c r="Z401" s="16"/>
      <c r="AA401" s="16"/>
      <c r="AB401" s="55"/>
      <c r="AC401"/>
      <c r="AD401"/>
      <c r="AE401"/>
      <c r="AF401"/>
      <c r="AG401"/>
      <c r="AH401"/>
      <c r="AI401"/>
      <c r="AJ401"/>
      <c r="AK401"/>
      <c r="AL401"/>
      <c r="AM401"/>
      <c r="AN401"/>
      <c r="AO401"/>
      <c r="AP401"/>
      <c r="AQ401"/>
      <c r="AS401" s="55"/>
      <c r="AT401"/>
      <c r="AU401" s="41"/>
      <c r="AV401" s="16"/>
      <c r="AW401" s="16"/>
      <c r="AX401" s="16"/>
      <c r="AY401" s="16"/>
      <c r="AZ401" s="16"/>
      <c r="BA401" s="16"/>
      <c r="BB401" s="16"/>
      <c r="BC401" s="16"/>
      <c r="BD401" s="16"/>
      <c r="BE401" s="16"/>
      <c r="BF401" s="16"/>
      <c r="BG401" s="16"/>
      <c r="BH401" s="16"/>
      <c r="BI401"/>
      <c r="BJ401"/>
      <c r="BK401"/>
      <c r="BL401"/>
      <c r="BM401"/>
      <c r="BN401"/>
      <c r="BO401"/>
      <c r="BP401"/>
      <c r="BQ401" s="55"/>
      <c r="BR401"/>
      <c r="BS401"/>
      <c r="BT401"/>
      <c r="BU401"/>
      <c r="BV401"/>
      <c r="BW401"/>
      <c r="BX401"/>
      <c r="BY401"/>
      <c r="BZ401"/>
      <c r="CA401"/>
      <c r="CB401"/>
      <c r="CC401"/>
      <c r="CD401"/>
      <c r="CE401"/>
      <c r="CF401"/>
      <c r="CH401" s="55"/>
      <c r="CI401"/>
      <c r="CJ401" s="16"/>
      <c r="CK401" s="16"/>
      <c r="CL401" s="28"/>
      <c r="CM401" s="28"/>
      <c r="CN401" s="28"/>
      <c r="CO401" s="28"/>
      <c r="CP401" s="28"/>
      <c r="CQ401" s="28"/>
      <c r="CR401" s="28"/>
      <c r="CS401" s="28"/>
      <c r="CT401" s="28"/>
      <c r="CU401" s="28"/>
      <c r="CV401" s="28"/>
      <c r="CW401" s="28"/>
      <c r="CX401" s="28"/>
      <c r="CY401" s="28"/>
      <c r="CZ401" s="28"/>
      <c r="DA401" s="28"/>
      <c r="DB401" s="28"/>
      <c r="DC401" s="28"/>
      <c r="DD401" s="28"/>
      <c r="DF401" s="55"/>
      <c r="DX401" s="28"/>
    </row>
    <row r="402" spans="1:128" s="19" customFormat="1" ht="16" customHeight="1">
      <c r="A402" s="18"/>
      <c r="B402" s="17"/>
      <c r="C402" s="16"/>
      <c r="D402" s="16"/>
      <c r="E402" s="16"/>
      <c r="F402" s="16"/>
      <c r="G402" s="16"/>
      <c r="H402" s="20"/>
      <c r="I402" s="20"/>
      <c r="J402" s="20"/>
      <c r="K402" s="20"/>
      <c r="L402" s="20"/>
      <c r="M402" s="20"/>
      <c r="N402" s="20"/>
      <c r="O402" s="20"/>
      <c r="P402" s="20"/>
      <c r="Q402" s="20"/>
      <c r="R402" s="20"/>
      <c r="S402" s="20"/>
      <c r="T402"/>
      <c r="U402"/>
      <c r="V402"/>
      <c r="W402"/>
      <c r="X402"/>
      <c r="Y402"/>
      <c r="Z402" s="16"/>
      <c r="AA402" s="16"/>
      <c r="AB402" s="55"/>
      <c r="AC402"/>
      <c r="AD402"/>
      <c r="AE402"/>
      <c r="AF402"/>
      <c r="AG402"/>
      <c r="AH402"/>
      <c r="AI402"/>
      <c r="AJ402"/>
      <c r="AK402"/>
      <c r="AL402"/>
      <c r="AM402"/>
      <c r="AN402"/>
      <c r="AO402"/>
      <c r="AP402"/>
      <c r="AQ402"/>
      <c r="AS402" s="55"/>
      <c r="AT402"/>
      <c r="AU402" s="41"/>
      <c r="AV402" s="16"/>
      <c r="AW402" s="16"/>
      <c r="AX402" s="16"/>
      <c r="AY402" s="16"/>
      <c r="AZ402" s="16"/>
      <c r="BA402" s="16"/>
      <c r="BB402" s="16"/>
      <c r="BC402" s="16"/>
      <c r="BD402" s="16"/>
      <c r="BE402" s="16"/>
      <c r="BF402" s="16"/>
      <c r="BG402" s="16"/>
      <c r="BH402" s="16"/>
      <c r="BI402"/>
      <c r="BJ402"/>
      <c r="BK402"/>
      <c r="BL402"/>
      <c r="BM402"/>
      <c r="BN402"/>
      <c r="BO402"/>
      <c r="BP402"/>
      <c r="BQ402" s="55"/>
      <c r="BR402"/>
      <c r="BS402"/>
      <c r="BT402"/>
      <c r="BU402"/>
      <c r="BV402"/>
      <c r="BW402"/>
      <c r="BX402"/>
      <c r="BY402"/>
      <c r="BZ402"/>
      <c r="CA402"/>
      <c r="CB402"/>
      <c r="CC402"/>
      <c r="CD402"/>
      <c r="CE402"/>
      <c r="CF402"/>
      <c r="CH402" s="55"/>
      <c r="CI402"/>
      <c r="CJ402" s="16"/>
      <c r="CK402" s="16"/>
      <c r="CL402" s="28"/>
      <c r="CM402" s="28"/>
      <c r="CN402" s="28"/>
      <c r="CO402" s="28"/>
      <c r="CP402" s="28"/>
      <c r="CQ402" s="28"/>
      <c r="CR402" s="28"/>
      <c r="CS402" s="28"/>
      <c r="CT402" s="28"/>
      <c r="CU402" s="28"/>
      <c r="CV402" s="28"/>
      <c r="CW402" s="28"/>
      <c r="CX402" s="28"/>
      <c r="CY402" s="28"/>
      <c r="CZ402" s="28"/>
      <c r="DA402" s="28"/>
      <c r="DB402" s="28"/>
      <c r="DC402" s="28"/>
      <c r="DD402" s="28"/>
      <c r="DF402" s="55"/>
      <c r="DX402" s="28"/>
    </row>
    <row r="403" spans="1:128" s="19" customFormat="1" ht="16" customHeight="1">
      <c r="A403" s="18"/>
      <c r="B403" s="17"/>
      <c r="C403" s="16"/>
      <c r="D403" s="16"/>
      <c r="E403" s="16"/>
      <c r="F403" s="16"/>
      <c r="G403" s="16"/>
      <c r="H403" s="20"/>
      <c r="I403" s="20"/>
      <c r="J403" s="20"/>
      <c r="K403" s="20"/>
      <c r="L403" s="20"/>
      <c r="M403" s="20"/>
      <c r="N403" s="20"/>
      <c r="O403" s="20"/>
      <c r="P403" s="20"/>
      <c r="Q403" s="20"/>
      <c r="R403" s="20"/>
      <c r="S403" s="20"/>
      <c r="T403"/>
      <c r="U403"/>
      <c r="V403"/>
      <c r="W403"/>
      <c r="X403"/>
      <c r="Y403"/>
      <c r="Z403" s="16"/>
      <c r="AA403" s="16"/>
      <c r="AB403" s="55"/>
      <c r="AC403"/>
      <c r="AD403"/>
      <c r="AE403"/>
      <c r="AF403"/>
      <c r="AG403"/>
      <c r="AH403"/>
      <c r="AI403"/>
      <c r="AJ403"/>
      <c r="AK403"/>
      <c r="AL403"/>
      <c r="AM403"/>
      <c r="AN403"/>
      <c r="AO403"/>
      <c r="AP403"/>
      <c r="AQ403"/>
      <c r="AS403" s="55"/>
      <c r="AT403"/>
      <c r="AU403" s="41"/>
      <c r="AV403" s="16"/>
      <c r="AW403" s="16"/>
      <c r="AX403" s="16"/>
      <c r="AY403" s="16"/>
      <c r="AZ403" s="16"/>
      <c r="BA403" s="16"/>
      <c r="BB403" s="16"/>
      <c r="BC403" s="16"/>
      <c r="BD403" s="16"/>
      <c r="BE403" s="16"/>
      <c r="BF403" s="16"/>
      <c r="BG403" s="16"/>
      <c r="BH403" s="16"/>
      <c r="BI403"/>
      <c r="BJ403"/>
      <c r="BK403"/>
      <c r="BL403"/>
      <c r="BM403"/>
      <c r="BN403"/>
      <c r="BO403"/>
      <c r="BP403"/>
      <c r="BQ403" s="55"/>
      <c r="BR403"/>
      <c r="BS403"/>
      <c r="BT403"/>
      <c r="BU403"/>
      <c r="BV403"/>
      <c r="BW403"/>
      <c r="BX403"/>
      <c r="BY403"/>
      <c r="BZ403"/>
      <c r="CA403"/>
      <c r="CB403"/>
      <c r="CC403"/>
      <c r="CD403"/>
      <c r="CE403"/>
      <c r="CF403"/>
      <c r="CH403" s="55"/>
      <c r="CI403"/>
      <c r="CJ403" s="16"/>
      <c r="CK403" s="16"/>
      <c r="CL403" s="28"/>
      <c r="CM403" s="28"/>
      <c r="CN403" s="28"/>
      <c r="CO403" s="28"/>
      <c r="CP403" s="28"/>
      <c r="CQ403" s="28"/>
      <c r="CR403" s="28"/>
      <c r="CS403" s="28"/>
      <c r="CT403" s="28"/>
      <c r="CU403" s="28"/>
      <c r="CV403" s="28"/>
      <c r="CW403" s="28"/>
      <c r="CX403" s="28"/>
      <c r="CY403" s="28"/>
      <c r="CZ403" s="28"/>
      <c r="DA403" s="28"/>
      <c r="DB403" s="28"/>
      <c r="DC403" s="28"/>
      <c r="DD403" s="28"/>
      <c r="DF403" s="55"/>
      <c r="DX403" s="28"/>
    </row>
    <row r="404" spans="1:128" s="19" customFormat="1" ht="16" customHeight="1">
      <c r="A404" s="18"/>
      <c r="B404" s="17"/>
      <c r="C404" s="16"/>
      <c r="D404" s="16"/>
      <c r="E404" s="16"/>
      <c r="F404" s="16"/>
      <c r="G404" s="16"/>
      <c r="H404" s="20"/>
      <c r="I404" s="20"/>
      <c r="J404" s="20"/>
      <c r="K404" s="20"/>
      <c r="L404" s="20"/>
      <c r="M404" s="20"/>
      <c r="N404" s="20"/>
      <c r="O404" s="20"/>
      <c r="P404" s="20"/>
      <c r="Q404" s="20"/>
      <c r="R404" s="20"/>
      <c r="S404" s="20"/>
      <c r="T404"/>
      <c r="U404"/>
      <c r="V404"/>
      <c r="W404"/>
      <c r="X404"/>
      <c r="Y404"/>
      <c r="Z404" s="16"/>
      <c r="AA404" s="16"/>
      <c r="AB404" s="55"/>
      <c r="AC404"/>
      <c r="AD404"/>
      <c r="AE404"/>
      <c r="AF404"/>
      <c r="AG404"/>
      <c r="AH404"/>
      <c r="AI404"/>
      <c r="AJ404"/>
      <c r="AK404"/>
      <c r="AL404"/>
      <c r="AM404"/>
      <c r="AN404"/>
      <c r="AO404"/>
      <c r="AP404"/>
      <c r="AQ404"/>
      <c r="AS404" s="55"/>
      <c r="AT404"/>
      <c r="AU404" s="41"/>
      <c r="AV404" s="16"/>
      <c r="AW404" s="16"/>
      <c r="AX404" s="16"/>
      <c r="AY404" s="16"/>
      <c r="AZ404" s="16"/>
      <c r="BA404" s="16"/>
      <c r="BB404" s="16"/>
      <c r="BC404" s="16"/>
      <c r="BD404" s="16"/>
      <c r="BE404" s="16"/>
      <c r="BF404" s="16"/>
      <c r="BG404" s="16"/>
      <c r="BH404" s="16"/>
      <c r="BI404"/>
      <c r="BJ404"/>
      <c r="BK404"/>
      <c r="BL404"/>
      <c r="BM404"/>
      <c r="BN404"/>
      <c r="BO404"/>
      <c r="BP404"/>
      <c r="BQ404" s="55"/>
      <c r="BR404"/>
      <c r="BS404"/>
      <c r="BT404"/>
      <c r="BU404"/>
      <c r="BV404"/>
      <c r="BW404"/>
      <c r="BX404"/>
      <c r="BY404"/>
      <c r="BZ404"/>
      <c r="CA404"/>
      <c r="CB404"/>
      <c r="CC404"/>
      <c r="CD404"/>
      <c r="CE404"/>
      <c r="CF404"/>
      <c r="CH404" s="55"/>
      <c r="CI404"/>
      <c r="CJ404" s="16"/>
      <c r="CK404" s="16"/>
      <c r="CL404" s="28"/>
      <c r="CM404" s="28"/>
      <c r="CN404" s="28"/>
      <c r="CO404" s="28"/>
      <c r="CP404" s="28"/>
      <c r="CQ404" s="28"/>
      <c r="CR404" s="28"/>
      <c r="CS404" s="28"/>
      <c r="CT404" s="28"/>
      <c r="CU404" s="28"/>
      <c r="CV404" s="28"/>
      <c r="CW404" s="28"/>
      <c r="CX404" s="28"/>
      <c r="CY404" s="28"/>
      <c r="CZ404" s="28"/>
      <c r="DA404" s="28"/>
      <c r="DB404" s="28"/>
      <c r="DC404" s="28"/>
      <c r="DD404" s="28"/>
      <c r="DF404" s="55"/>
      <c r="DX404" s="28"/>
    </row>
    <row r="405" spans="1:128" s="19" customFormat="1" ht="16" customHeight="1">
      <c r="A405" s="18"/>
      <c r="B405" s="17"/>
      <c r="C405" s="16"/>
      <c r="D405" s="16"/>
      <c r="E405" s="16"/>
      <c r="F405" s="16"/>
      <c r="G405" s="16"/>
      <c r="H405" s="20"/>
      <c r="I405" s="20"/>
      <c r="J405" s="20"/>
      <c r="K405" s="20"/>
      <c r="L405" s="20"/>
      <c r="M405" s="20"/>
      <c r="N405" s="20"/>
      <c r="O405" s="20"/>
      <c r="P405" s="20"/>
      <c r="Q405" s="20"/>
      <c r="R405" s="20"/>
      <c r="S405" s="20"/>
      <c r="T405"/>
      <c r="U405"/>
      <c r="V405"/>
      <c r="W405"/>
      <c r="X405"/>
      <c r="Y405"/>
      <c r="Z405" s="16"/>
      <c r="AA405" s="16"/>
      <c r="AB405" s="55"/>
      <c r="AC405"/>
      <c r="AD405"/>
      <c r="AE405"/>
      <c r="AF405"/>
      <c r="AG405"/>
      <c r="AH405"/>
      <c r="AI405"/>
      <c r="AJ405"/>
      <c r="AK405"/>
      <c r="AL405"/>
      <c r="AM405"/>
      <c r="AN405"/>
      <c r="AO405"/>
      <c r="AP405"/>
      <c r="AQ405"/>
      <c r="AS405" s="55"/>
      <c r="AT405"/>
      <c r="AU405" s="41"/>
      <c r="AV405" s="16"/>
      <c r="AW405" s="16"/>
      <c r="AX405" s="16"/>
      <c r="AY405" s="16"/>
      <c r="AZ405" s="16"/>
      <c r="BA405" s="16"/>
      <c r="BB405" s="16"/>
      <c r="BC405" s="16"/>
      <c r="BD405" s="16"/>
      <c r="BE405" s="16"/>
      <c r="BF405" s="16"/>
      <c r="BG405" s="16"/>
      <c r="BH405" s="16"/>
      <c r="BI405"/>
      <c r="BJ405"/>
      <c r="BK405"/>
      <c r="BL405"/>
      <c r="BM405"/>
      <c r="BN405"/>
      <c r="BO405"/>
      <c r="BP405"/>
      <c r="BQ405" s="55"/>
      <c r="BR405"/>
      <c r="BS405"/>
      <c r="BT405"/>
      <c r="BU405"/>
      <c r="BV405"/>
      <c r="BW405"/>
      <c r="BX405"/>
      <c r="BY405"/>
      <c r="BZ405"/>
      <c r="CA405"/>
      <c r="CB405"/>
      <c r="CC405"/>
      <c r="CD405"/>
      <c r="CE405"/>
      <c r="CF405"/>
      <c r="CH405" s="55"/>
      <c r="CI405"/>
      <c r="CJ405" s="16"/>
      <c r="CK405" s="16"/>
      <c r="CL405" s="28"/>
      <c r="CM405" s="28"/>
      <c r="CN405" s="28"/>
      <c r="CO405" s="28"/>
      <c r="CP405" s="28"/>
      <c r="CQ405" s="28"/>
      <c r="CR405" s="28"/>
      <c r="CS405" s="28"/>
      <c r="CT405" s="28"/>
      <c r="CU405" s="28"/>
      <c r="CV405" s="28"/>
      <c r="CW405" s="28"/>
      <c r="CX405" s="28"/>
      <c r="CY405" s="28"/>
      <c r="CZ405" s="28"/>
      <c r="DA405" s="28"/>
      <c r="DB405" s="28"/>
      <c r="DC405" s="28"/>
      <c r="DD405" s="28"/>
      <c r="DF405" s="55"/>
      <c r="DX405" s="28"/>
    </row>
    <row r="406" spans="1:128" s="19" customFormat="1" ht="16" customHeight="1">
      <c r="A406" s="18"/>
      <c r="B406" s="17"/>
      <c r="C406" s="16"/>
      <c r="D406" s="16"/>
      <c r="E406" s="16"/>
      <c r="F406" s="16"/>
      <c r="G406" s="16"/>
      <c r="H406" s="20"/>
      <c r="I406" s="20"/>
      <c r="J406" s="20"/>
      <c r="K406" s="20"/>
      <c r="L406" s="20"/>
      <c r="M406" s="20"/>
      <c r="N406" s="20"/>
      <c r="O406" s="20"/>
      <c r="P406" s="20"/>
      <c r="Q406" s="20"/>
      <c r="R406" s="20"/>
      <c r="S406" s="20"/>
      <c r="T406"/>
      <c r="U406"/>
      <c r="V406"/>
      <c r="W406"/>
      <c r="X406"/>
      <c r="Y406"/>
      <c r="Z406" s="16"/>
      <c r="AA406" s="16"/>
      <c r="AB406" s="55"/>
      <c r="AC406"/>
      <c r="AD406"/>
      <c r="AE406"/>
      <c r="AF406"/>
      <c r="AG406"/>
      <c r="AH406"/>
      <c r="AI406"/>
      <c r="AJ406"/>
      <c r="AK406"/>
      <c r="AL406"/>
      <c r="AM406"/>
      <c r="AN406"/>
      <c r="AO406"/>
      <c r="AP406"/>
      <c r="AQ406"/>
      <c r="AS406" s="55"/>
      <c r="AT406"/>
      <c r="AU406" s="41"/>
      <c r="AV406" s="16"/>
      <c r="AW406" s="16"/>
      <c r="AX406" s="16"/>
      <c r="AY406" s="16"/>
      <c r="AZ406" s="16"/>
      <c r="BA406" s="16"/>
      <c r="BB406" s="16"/>
      <c r="BC406" s="16"/>
      <c r="BD406" s="16"/>
      <c r="BE406" s="16"/>
      <c r="BF406" s="16"/>
      <c r="BG406" s="16"/>
      <c r="BH406" s="16"/>
      <c r="BI406"/>
      <c r="BJ406"/>
      <c r="BK406"/>
      <c r="BL406"/>
      <c r="BM406"/>
      <c r="BN406"/>
      <c r="BO406"/>
      <c r="BP406"/>
      <c r="BQ406" s="55"/>
      <c r="BR406"/>
      <c r="BS406"/>
      <c r="BT406"/>
      <c r="BU406"/>
      <c r="BV406"/>
      <c r="BW406"/>
      <c r="BX406"/>
      <c r="BY406"/>
      <c r="BZ406"/>
      <c r="CA406"/>
      <c r="CB406"/>
      <c r="CC406"/>
      <c r="CD406"/>
      <c r="CE406"/>
      <c r="CF406"/>
      <c r="CH406" s="55"/>
      <c r="CI406"/>
      <c r="CJ406" s="16"/>
      <c r="CK406" s="16"/>
      <c r="CL406" s="28"/>
      <c r="CM406" s="28"/>
      <c r="CN406" s="28"/>
      <c r="CO406" s="28"/>
      <c r="CP406" s="28"/>
      <c r="CQ406" s="28"/>
      <c r="CR406" s="28"/>
      <c r="CS406" s="28"/>
      <c r="CT406" s="28"/>
      <c r="CU406" s="28"/>
      <c r="CV406" s="28"/>
      <c r="CW406" s="28"/>
      <c r="CX406" s="28"/>
      <c r="CY406" s="28"/>
      <c r="CZ406" s="28"/>
      <c r="DA406" s="28"/>
      <c r="DB406" s="28"/>
      <c r="DC406" s="28"/>
      <c r="DD406" s="28"/>
      <c r="DF406" s="55"/>
      <c r="DX406" s="28"/>
    </row>
    <row r="407" spans="1:128" s="19" customFormat="1" ht="16" customHeight="1">
      <c r="A407" s="18"/>
      <c r="B407" s="17"/>
      <c r="C407" s="16"/>
      <c r="D407" s="16"/>
      <c r="E407" s="16"/>
      <c r="F407" s="16"/>
      <c r="G407" s="16"/>
      <c r="H407" s="20"/>
      <c r="I407" s="20"/>
      <c r="J407" s="20"/>
      <c r="K407" s="20"/>
      <c r="L407" s="20"/>
      <c r="M407" s="20"/>
      <c r="N407" s="20"/>
      <c r="O407" s="20"/>
      <c r="P407" s="20"/>
      <c r="Q407" s="20"/>
      <c r="R407" s="20"/>
      <c r="S407" s="20"/>
      <c r="T407"/>
      <c r="U407"/>
      <c r="V407"/>
      <c r="W407"/>
      <c r="X407"/>
      <c r="Y407"/>
      <c r="Z407" s="16"/>
      <c r="AA407" s="16"/>
      <c r="AB407" s="55"/>
      <c r="AC407"/>
      <c r="AD407"/>
      <c r="AE407"/>
      <c r="AF407"/>
      <c r="AG407"/>
      <c r="AH407"/>
      <c r="AI407"/>
      <c r="AJ407"/>
      <c r="AK407"/>
      <c r="AL407"/>
      <c r="AM407"/>
      <c r="AN407"/>
      <c r="AO407"/>
      <c r="AP407"/>
      <c r="AQ407"/>
      <c r="AS407" s="55"/>
      <c r="AT407"/>
      <c r="AU407" s="41"/>
      <c r="AV407" s="16"/>
      <c r="AW407" s="16"/>
      <c r="AX407" s="16"/>
      <c r="AY407" s="16"/>
      <c r="AZ407" s="16"/>
      <c r="BA407" s="16"/>
      <c r="BB407" s="16"/>
      <c r="BC407" s="16"/>
      <c r="BD407" s="16"/>
      <c r="BE407" s="16"/>
      <c r="BF407" s="16"/>
      <c r="BG407" s="16"/>
      <c r="BH407" s="16"/>
      <c r="BI407"/>
      <c r="BJ407"/>
      <c r="BK407"/>
      <c r="BL407"/>
      <c r="BM407"/>
      <c r="BN407"/>
      <c r="BO407"/>
      <c r="BP407"/>
      <c r="BQ407" s="55"/>
      <c r="BR407"/>
      <c r="BS407"/>
      <c r="BT407"/>
      <c r="BU407"/>
      <c r="BV407"/>
      <c r="BW407"/>
      <c r="BX407"/>
      <c r="BY407"/>
      <c r="BZ407"/>
      <c r="CA407"/>
      <c r="CB407"/>
      <c r="CC407"/>
      <c r="CD407"/>
      <c r="CE407"/>
      <c r="CF407"/>
      <c r="CH407" s="55"/>
      <c r="CI407"/>
      <c r="CJ407" s="16"/>
      <c r="CK407" s="16"/>
      <c r="CL407" s="28"/>
      <c r="CM407" s="28"/>
      <c r="CN407" s="28"/>
      <c r="CO407" s="28"/>
      <c r="CP407" s="28"/>
      <c r="CQ407" s="28"/>
      <c r="CR407" s="28"/>
      <c r="CS407" s="28"/>
      <c r="CT407" s="28"/>
      <c r="CU407" s="28"/>
      <c r="CV407" s="28"/>
      <c r="CW407" s="28"/>
      <c r="CX407" s="28"/>
      <c r="CY407" s="28"/>
      <c r="CZ407" s="28"/>
      <c r="DA407" s="28"/>
      <c r="DB407" s="28"/>
      <c r="DC407" s="28"/>
      <c r="DD407" s="28"/>
      <c r="DF407" s="55"/>
      <c r="DX407" s="28"/>
    </row>
    <row r="408" spans="1:128" s="19" customFormat="1" ht="16" customHeight="1">
      <c r="A408" s="18"/>
      <c r="B408" s="17"/>
      <c r="C408" s="16"/>
      <c r="D408" s="16"/>
      <c r="E408" s="16"/>
      <c r="F408" s="16"/>
      <c r="G408" s="16"/>
      <c r="H408" s="20"/>
      <c r="I408" s="20"/>
      <c r="J408" s="20"/>
      <c r="K408" s="20"/>
      <c r="L408" s="20"/>
      <c r="M408" s="20"/>
      <c r="N408" s="20"/>
      <c r="O408" s="20"/>
      <c r="P408" s="20"/>
      <c r="Q408" s="20"/>
      <c r="R408" s="20"/>
      <c r="S408" s="20"/>
      <c r="T408"/>
      <c r="U408"/>
      <c r="V408"/>
      <c r="W408"/>
      <c r="X408"/>
      <c r="Y408"/>
      <c r="Z408" s="16"/>
      <c r="AA408" s="16"/>
      <c r="AB408" s="55"/>
      <c r="AC408"/>
      <c r="AD408"/>
      <c r="AE408"/>
      <c r="AF408"/>
      <c r="AG408"/>
      <c r="AH408"/>
      <c r="AI408"/>
      <c r="AJ408"/>
      <c r="AK408"/>
      <c r="AL408"/>
      <c r="AM408"/>
      <c r="AN408"/>
      <c r="AO408"/>
      <c r="AP408"/>
      <c r="AQ408"/>
      <c r="AS408" s="55"/>
      <c r="AT408"/>
      <c r="AU408" s="41"/>
      <c r="AV408" s="16"/>
      <c r="AW408" s="16"/>
      <c r="AX408" s="16"/>
      <c r="AY408" s="16"/>
      <c r="AZ408" s="16"/>
      <c r="BA408" s="16"/>
      <c r="BB408" s="16"/>
      <c r="BC408" s="16"/>
      <c r="BD408" s="16"/>
      <c r="BE408" s="16"/>
      <c r="BF408" s="16"/>
      <c r="BG408" s="16"/>
      <c r="BH408" s="16"/>
      <c r="BI408"/>
      <c r="BJ408"/>
      <c r="BK408"/>
      <c r="BL408"/>
      <c r="BM408"/>
      <c r="BN408"/>
      <c r="BO408"/>
      <c r="BP408"/>
      <c r="BQ408" s="55"/>
      <c r="BR408"/>
      <c r="BS408"/>
      <c r="BT408"/>
      <c r="BU408"/>
      <c r="BV408"/>
      <c r="BW408"/>
      <c r="BX408"/>
      <c r="BY408"/>
      <c r="BZ408"/>
      <c r="CA408"/>
      <c r="CB408"/>
      <c r="CC408"/>
      <c r="CD408"/>
      <c r="CE408"/>
      <c r="CF408"/>
      <c r="CH408" s="55"/>
      <c r="CI408"/>
      <c r="CJ408" s="16"/>
      <c r="CK408" s="16"/>
      <c r="CL408" s="28"/>
      <c r="CM408" s="28"/>
      <c r="CN408" s="28"/>
      <c r="CO408" s="28"/>
      <c r="CP408" s="28"/>
      <c r="CQ408" s="28"/>
      <c r="CR408" s="28"/>
      <c r="CS408" s="28"/>
      <c r="CT408" s="28"/>
      <c r="CU408" s="28"/>
      <c r="CV408" s="28"/>
      <c r="CW408" s="28"/>
      <c r="CX408" s="28"/>
      <c r="CY408" s="28"/>
      <c r="CZ408" s="28"/>
      <c r="DA408" s="28"/>
      <c r="DB408" s="28"/>
      <c r="DC408" s="28"/>
      <c r="DD408" s="28"/>
      <c r="DF408" s="55"/>
      <c r="DX408" s="28"/>
    </row>
    <row r="409" spans="1:128" s="19" customFormat="1" ht="16" customHeight="1">
      <c r="A409" s="18"/>
      <c r="B409" s="17"/>
      <c r="C409" s="16"/>
      <c r="D409" s="16"/>
      <c r="E409" s="16"/>
      <c r="F409" s="16"/>
      <c r="G409" s="16"/>
      <c r="H409" s="20"/>
      <c r="I409" s="20"/>
      <c r="J409" s="20"/>
      <c r="K409" s="20"/>
      <c r="L409" s="20"/>
      <c r="M409" s="20"/>
      <c r="N409" s="20"/>
      <c r="O409" s="20"/>
      <c r="P409" s="20"/>
      <c r="Q409" s="20"/>
      <c r="R409" s="20"/>
      <c r="S409" s="20"/>
      <c r="T409"/>
      <c r="U409"/>
      <c r="V409"/>
      <c r="W409"/>
      <c r="X409"/>
      <c r="Y409"/>
      <c r="Z409" s="16"/>
      <c r="AA409" s="16"/>
      <c r="AB409" s="55"/>
      <c r="AC409"/>
      <c r="AD409"/>
      <c r="AE409"/>
      <c r="AF409"/>
      <c r="AG409"/>
      <c r="AH409"/>
      <c r="AI409"/>
      <c r="AJ409"/>
      <c r="AK409"/>
      <c r="AL409"/>
      <c r="AM409"/>
      <c r="AN409"/>
      <c r="AO409"/>
      <c r="AP409"/>
      <c r="AQ409"/>
      <c r="AS409" s="55"/>
      <c r="AT409"/>
      <c r="AU409" s="41"/>
      <c r="AV409" s="16"/>
      <c r="AW409" s="16"/>
      <c r="AX409" s="16"/>
      <c r="AY409" s="16"/>
      <c r="AZ409" s="16"/>
      <c r="BA409" s="16"/>
      <c r="BB409" s="16"/>
      <c r="BC409" s="16"/>
      <c r="BD409" s="16"/>
      <c r="BE409" s="16"/>
      <c r="BF409" s="16"/>
      <c r="BG409" s="16"/>
      <c r="BH409" s="16"/>
      <c r="BI409"/>
      <c r="BJ409"/>
      <c r="BK409"/>
      <c r="BL409"/>
      <c r="BM409"/>
      <c r="BN409"/>
      <c r="BO409"/>
      <c r="BP409"/>
      <c r="BQ409" s="55"/>
      <c r="BR409"/>
      <c r="BS409"/>
      <c r="BT409"/>
      <c r="BU409"/>
      <c r="BV409"/>
      <c r="BW409"/>
      <c r="BX409"/>
      <c r="BY409"/>
      <c r="BZ409"/>
      <c r="CA409"/>
      <c r="CB409"/>
      <c r="CC409"/>
      <c r="CD409"/>
      <c r="CE409"/>
      <c r="CF409"/>
      <c r="CH409" s="55"/>
      <c r="CI409"/>
      <c r="CJ409" s="16"/>
      <c r="CK409" s="16"/>
      <c r="CL409" s="28"/>
      <c r="CM409" s="28"/>
      <c r="CN409" s="28"/>
      <c r="CO409" s="28"/>
      <c r="CP409" s="28"/>
      <c r="CQ409" s="28"/>
      <c r="CR409" s="28"/>
      <c r="CS409" s="28"/>
      <c r="CT409" s="28"/>
      <c r="CU409" s="28"/>
      <c r="CV409" s="28"/>
      <c r="CW409" s="28"/>
      <c r="CX409" s="28"/>
      <c r="CY409" s="28"/>
      <c r="CZ409" s="28"/>
      <c r="DA409" s="28"/>
      <c r="DB409" s="28"/>
      <c r="DC409" s="28"/>
      <c r="DD409" s="28"/>
      <c r="DF409" s="55"/>
      <c r="DX409" s="28"/>
    </row>
    <row r="410" spans="1:128" s="19" customFormat="1" ht="16" customHeight="1">
      <c r="A410" s="18"/>
      <c r="B410" s="17"/>
      <c r="C410" s="16"/>
      <c r="D410" s="16"/>
      <c r="E410" s="16"/>
      <c r="F410" s="16"/>
      <c r="G410" s="16"/>
      <c r="H410" s="20"/>
      <c r="I410" s="20"/>
      <c r="J410" s="20"/>
      <c r="K410" s="20"/>
      <c r="L410" s="20"/>
      <c r="M410" s="20"/>
      <c r="N410" s="20"/>
      <c r="O410" s="20"/>
      <c r="P410" s="20"/>
      <c r="Q410" s="20"/>
      <c r="R410" s="20"/>
      <c r="S410" s="20"/>
      <c r="T410"/>
      <c r="U410"/>
      <c r="V410"/>
      <c r="W410"/>
      <c r="X410"/>
      <c r="Y410"/>
      <c r="Z410" s="16"/>
      <c r="AA410" s="16"/>
      <c r="AB410" s="55"/>
      <c r="AC410"/>
      <c r="AD410"/>
      <c r="AE410"/>
      <c r="AF410"/>
      <c r="AG410"/>
      <c r="AH410"/>
      <c r="AI410"/>
      <c r="AJ410"/>
      <c r="AK410"/>
      <c r="AL410"/>
      <c r="AM410"/>
      <c r="AN410"/>
      <c r="AO410"/>
      <c r="AP410"/>
      <c r="AQ410"/>
      <c r="AS410" s="55"/>
      <c r="AT410"/>
      <c r="AU410" s="41"/>
      <c r="AV410" s="16"/>
      <c r="AW410" s="16"/>
      <c r="AX410" s="16"/>
      <c r="AY410" s="16"/>
      <c r="AZ410" s="16"/>
      <c r="BA410" s="16"/>
      <c r="BB410" s="16"/>
      <c r="BC410" s="16"/>
      <c r="BD410" s="16"/>
      <c r="BE410" s="16"/>
      <c r="BF410" s="16"/>
      <c r="BG410" s="16"/>
      <c r="BH410" s="16"/>
      <c r="BI410"/>
      <c r="BJ410"/>
      <c r="BK410"/>
      <c r="BL410"/>
      <c r="BM410"/>
      <c r="BN410"/>
      <c r="BO410"/>
      <c r="BP410"/>
      <c r="BQ410" s="55"/>
      <c r="BR410"/>
      <c r="BS410"/>
      <c r="BT410"/>
      <c r="BU410"/>
      <c r="BV410"/>
      <c r="BW410"/>
      <c r="BX410"/>
      <c r="BY410"/>
      <c r="BZ410"/>
      <c r="CA410"/>
      <c r="CB410"/>
      <c r="CC410"/>
      <c r="CD410"/>
      <c r="CE410"/>
      <c r="CF410"/>
      <c r="CH410" s="55"/>
      <c r="CI410"/>
      <c r="CJ410" s="16"/>
      <c r="CK410" s="16"/>
      <c r="CL410" s="28"/>
      <c r="CM410" s="28"/>
      <c r="CN410" s="28"/>
      <c r="CO410" s="28"/>
      <c r="CP410" s="28"/>
      <c r="CQ410" s="28"/>
      <c r="CR410" s="28"/>
      <c r="CS410" s="28"/>
      <c r="CT410" s="28"/>
      <c r="CU410" s="28"/>
      <c r="CV410" s="28"/>
      <c r="CW410" s="28"/>
      <c r="CX410" s="28"/>
      <c r="CY410" s="28"/>
      <c r="CZ410" s="28"/>
      <c r="DA410" s="28"/>
      <c r="DB410" s="28"/>
      <c r="DC410" s="28"/>
      <c r="DD410" s="28"/>
      <c r="DF410" s="55"/>
      <c r="DX410" s="28"/>
    </row>
    <row r="411" spans="1:128" s="19" customFormat="1" ht="16" customHeight="1">
      <c r="A411" s="18"/>
      <c r="B411" s="17"/>
      <c r="C411" s="16"/>
      <c r="D411" s="16"/>
      <c r="E411" s="16"/>
      <c r="F411" s="16"/>
      <c r="G411" s="16"/>
      <c r="H411" s="20"/>
      <c r="I411" s="20"/>
      <c r="J411" s="20"/>
      <c r="K411" s="20"/>
      <c r="L411" s="20"/>
      <c r="M411" s="20"/>
      <c r="N411" s="20"/>
      <c r="O411" s="20"/>
      <c r="P411" s="20"/>
      <c r="Q411" s="20"/>
      <c r="R411" s="20"/>
      <c r="S411" s="20"/>
      <c r="T411"/>
      <c r="U411"/>
      <c r="V411"/>
      <c r="W411"/>
      <c r="X411"/>
      <c r="Y411"/>
      <c r="Z411" s="16"/>
      <c r="AA411" s="16"/>
      <c r="AB411" s="55"/>
      <c r="AC411"/>
      <c r="AD411"/>
      <c r="AE411"/>
      <c r="AF411"/>
      <c r="AG411"/>
      <c r="AH411"/>
      <c r="AI411"/>
      <c r="AJ411"/>
      <c r="AK411"/>
      <c r="AL411"/>
      <c r="AM411"/>
      <c r="AN411"/>
      <c r="AO411"/>
      <c r="AP411"/>
      <c r="AQ411"/>
      <c r="AS411" s="55"/>
      <c r="AT411"/>
      <c r="AU411" s="41"/>
      <c r="AV411" s="16"/>
      <c r="AW411" s="16"/>
      <c r="AX411" s="16"/>
      <c r="AY411" s="16"/>
      <c r="AZ411" s="16"/>
      <c r="BA411" s="16"/>
      <c r="BB411" s="16"/>
      <c r="BC411" s="16"/>
      <c r="BD411" s="16"/>
      <c r="BE411" s="16"/>
      <c r="BF411" s="16"/>
      <c r="BG411" s="16"/>
      <c r="BH411" s="16"/>
      <c r="BI411"/>
      <c r="BJ411"/>
      <c r="BK411"/>
      <c r="BL411"/>
      <c r="BM411"/>
      <c r="BN411"/>
      <c r="BO411"/>
      <c r="BP411"/>
      <c r="BQ411" s="55"/>
      <c r="BR411"/>
      <c r="BS411"/>
      <c r="BT411"/>
      <c r="BU411"/>
      <c r="BV411"/>
      <c r="BW411"/>
      <c r="BX411"/>
      <c r="BY411"/>
      <c r="BZ411"/>
      <c r="CA411"/>
      <c r="CB411"/>
      <c r="CC411"/>
      <c r="CD411"/>
      <c r="CE411"/>
      <c r="CF411"/>
      <c r="CH411" s="55"/>
      <c r="CI411"/>
      <c r="CJ411" s="16"/>
      <c r="CK411" s="16"/>
      <c r="CL411" s="28"/>
      <c r="CM411" s="28"/>
      <c r="CN411" s="28"/>
      <c r="CO411" s="28"/>
      <c r="CP411" s="28"/>
      <c r="CQ411" s="28"/>
      <c r="CR411" s="28"/>
      <c r="CS411" s="28"/>
      <c r="CT411" s="28"/>
      <c r="CU411" s="28"/>
      <c r="CV411" s="28"/>
      <c r="CW411" s="28"/>
      <c r="CX411" s="28"/>
      <c r="CY411" s="28"/>
      <c r="CZ411" s="28"/>
      <c r="DA411" s="28"/>
      <c r="DB411" s="28"/>
      <c r="DC411" s="28"/>
      <c r="DD411" s="28"/>
      <c r="DF411" s="55"/>
      <c r="DX411" s="28"/>
    </row>
    <row r="412" spans="1:128" s="19" customFormat="1" ht="16" customHeight="1">
      <c r="A412" s="18"/>
      <c r="B412" s="17"/>
      <c r="C412" s="16"/>
      <c r="D412" s="16"/>
      <c r="E412" s="16"/>
      <c r="F412" s="16"/>
      <c r="G412" s="16"/>
      <c r="H412" s="20"/>
      <c r="I412" s="20"/>
      <c r="J412" s="20"/>
      <c r="K412" s="20"/>
      <c r="L412" s="20"/>
      <c r="M412" s="20"/>
      <c r="N412" s="20"/>
      <c r="O412" s="20"/>
      <c r="P412" s="20"/>
      <c r="Q412" s="20"/>
      <c r="R412" s="20"/>
      <c r="S412" s="20"/>
      <c r="T412"/>
      <c r="U412"/>
      <c r="V412"/>
      <c r="W412"/>
      <c r="X412"/>
      <c r="Y412"/>
      <c r="Z412" s="16"/>
      <c r="AA412" s="16"/>
      <c r="AB412" s="55"/>
      <c r="AC412"/>
      <c r="AD412"/>
      <c r="AE412"/>
      <c r="AF412"/>
      <c r="AG412"/>
      <c r="AH412"/>
      <c r="AI412"/>
      <c r="AJ412"/>
      <c r="AK412"/>
      <c r="AL412"/>
      <c r="AM412"/>
      <c r="AN412"/>
      <c r="AO412"/>
      <c r="AP412"/>
      <c r="AQ412"/>
      <c r="AS412" s="55"/>
      <c r="AT412"/>
      <c r="AU412" s="41"/>
      <c r="AV412" s="16"/>
      <c r="AW412" s="16"/>
      <c r="AX412" s="16"/>
      <c r="AY412" s="16"/>
      <c r="AZ412" s="16"/>
      <c r="BA412" s="16"/>
      <c r="BB412" s="16"/>
      <c r="BC412" s="16"/>
      <c r="BD412" s="16"/>
      <c r="BE412" s="16"/>
      <c r="BF412" s="16"/>
      <c r="BG412" s="16"/>
      <c r="BH412" s="16"/>
      <c r="BI412"/>
      <c r="BJ412"/>
      <c r="BK412"/>
      <c r="BL412"/>
      <c r="BM412"/>
      <c r="BN412"/>
      <c r="BO412"/>
      <c r="BP412"/>
      <c r="BQ412" s="55"/>
      <c r="BR412"/>
      <c r="BS412"/>
      <c r="BT412"/>
      <c r="BU412"/>
      <c r="BV412"/>
      <c r="BW412"/>
      <c r="BX412"/>
      <c r="BY412"/>
      <c r="BZ412"/>
      <c r="CA412"/>
      <c r="CB412"/>
      <c r="CC412"/>
      <c r="CD412"/>
      <c r="CE412"/>
      <c r="CF412"/>
      <c r="CH412" s="55"/>
      <c r="CI412"/>
      <c r="CJ412" s="16"/>
      <c r="CK412" s="16"/>
      <c r="CL412" s="28"/>
      <c r="CM412" s="28"/>
      <c r="CN412" s="28"/>
      <c r="CO412" s="28"/>
      <c r="CP412" s="28"/>
      <c r="CQ412" s="28"/>
      <c r="CR412" s="28"/>
      <c r="CS412" s="28"/>
      <c r="CT412" s="28"/>
      <c r="CU412" s="28"/>
      <c r="CV412" s="28"/>
      <c r="CW412" s="28"/>
      <c r="CX412" s="28"/>
      <c r="CY412" s="28"/>
      <c r="CZ412" s="28"/>
      <c r="DA412" s="28"/>
      <c r="DB412" s="28"/>
      <c r="DC412" s="28"/>
      <c r="DD412" s="28"/>
      <c r="DF412" s="55"/>
      <c r="DX412" s="28"/>
    </row>
    <row r="413" spans="1:128" s="19" customFormat="1" ht="16" customHeight="1">
      <c r="A413" s="18"/>
      <c r="B413" s="17"/>
      <c r="C413" s="16"/>
      <c r="D413" s="16"/>
      <c r="E413" s="16"/>
      <c r="F413" s="16"/>
      <c r="G413" s="16"/>
      <c r="H413" s="20"/>
      <c r="I413" s="20"/>
      <c r="J413" s="20"/>
      <c r="K413" s="20"/>
      <c r="L413" s="20"/>
      <c r="M413" s="20"/>
      <c r="N413" s="20"/>
      <c r="O413" s="20"/>
      <c r="P413" s="20"/>
      <c r="Q413" s="20"/>
      <c r="R413" s="20"/>
      <c r="S413" s="20"/>
      <c r="T413"/>
      <c r="U413"/>
      <c r="V413"/>
      <c r="W413"/>
      <c r="X413"/>
      <c r="Y413"/>
      <c r="Z413" s="16"/>
      <c r="AA413" s="16"/>
      <c r="AB413" s="55"/>
      <c r="AC413"/>
      <c r="AD413"/>
      <c r="AE413"/>
      <c r="AF413"/>
      <c r="AG413"/>
      <c r="AH413"/>
      <c r="AI413"/>
      <c r="AJ413"/>
      <c r="AK413"/>
      <c r="AL413"/>
      <c r="AM413"/>
      <c r="AN413"/>
      <c r="AO413"/>
      <c r="AP413"/>
      <c r="AQ413"/>
      <c r="AS413" s="55"/>
      <c r="AT413"/>
      <c r="AU413" s="41"/>
      <c r="AV413" s="16"/>
      <c r="AW413" s="16"/>
      <c r="AX413" s="16"/>
      <c r="AY413" s="16"/>
      <c r="AZ413" s="16"/>
      <c r="BA413" s="16"/>
      <c r="BB413" s="16"/>
      <c r="BC413" s="16"/>
      <c r="BD413" s="16"/>
      <c r="BE413" s="16"/>
      <c r="BF413" s="16"/>
      <c r="BG413" s="16"/>
      <c r="BH413" s="16"/>
      <c r="BI413"/>
      <c r="BJ413"/>
      <c r="BK413"/>
      <c r="BL413"/>
      <c r="BM413"/>
      <c r="BN413"/>
      <c r="BO413"/>
      <c r="BP413"/>
      <c r="BQ413" s="55"/>
      <c r="BR413"/>
      <c r="BS413"/>
      <c r="BT413"/>
      <c r="BU413"/>
      <c r="BV413"/>
      <c r="BW413"/>
      <c r="BX413"/>
      <c r="BY413"/>
      <c r="BZ413"/>
      <c r="CA413"/>
      <c r="CB413"/>
      <c r="CC413"/>
      <c r="CD413"/>
      <c r="CE413"/>
      <c r="CF413"/>
      <c r="CH413" s="55"/>
      <c r="CI413"/>
      <c r="CJ413" s="16"/>
      <c r="CK413" s="16"/>
      <c r="CL413" s="28"/>
      <c r="CM413" s="28"/>
      <c r="CN413" s="28"/>
      <c r="CO413" s="28"/>
      <c r="CP413" s="28"/>
      <c r="CQ413" s="28"/>
      <c r="CR413" s="28"/>
      <c r="CS413" s="28"/>
      <c r="CT413" s="28"/>
      <c r="CU413" s="28"/>
      <c r="CV413" s="28"/>
      <c r="CW413" s="28"/>
      <c r="CX413" s="28"/>
      <c r="CY413" s="28"/>
      <c r="CZ413" s="28"/>
      <c r="DA413" s="28"/>
      <c r="DB413" s="28"/>
      <c r="DC413" s="28"/>
      <c r="DD413" s="28"/>
      <c r="DF413" s="55"/>
      <c r="DX413" s="28"/>
    </row>
    <row r="414" spans="1:128" s="19" customFormat="1" ht="16" customHeight="1">
      <c r="A414" s="18"/>
      <c r="B414" s="17"/>
      <c r="C414" s="16"/>
      <c r="D414" s="16"/>
      <c r="E414" s="16"/>
      <c r="F414" s="16"/>
      <c r="G414" s="16"/>
      <c r="H414" s="20"/>
      <c r="I414" s="20"/>
      <c r="J414" s="20"/>
      <c r="K414" s="20"/>
      <c r="L414" s="20"/>
      <c r="M414" s="20"/>
      <c r="N414" s="20"/>
      <c r="O414" s="20"/>
      <c r="P414" s="20"/>
      <c r="Q414" s="20"/>
      <c r="R414" s="20"/>
      <c r="S414" s="20"/>
      <c r="T414"/>
      <c r="U414"/>
      <c r="V414"/>
      <c r="W414"/>
      <c r="X414"/>
      <c r="Y414"/>
      <c r="Z414" s="16"/>
      <c r="AA414" s="16"/>
      <c r="AB414" s="55"/>
      <c r="AC414"/>
      <c r="AD414"/>
      <c r="AE414"/>
      <c r="AF414"/>
      <c r="AG414"/>
      <c r="AH414"/>
      <c r="AI414"/>
      <c r="AJ414"/>
      <c r="AK414"/>
      <c r="AL414"/>
      <c r="AM414"/>
      <c r="AN414"/>
      <c r="AO414"/>
      <c r="AP414"/>
      <c r="AQ414"/>
      <c r="AS414" s="55"/>
      <c r="AT414"/>
      <c r="AU414" s="41"/>
      <c r="AV414" s="16"/>
      <c r="AW414" s="16"/>
      <c r="AX414" s="16"/>
      <c r="AY414" s="16"/>
      <c r="AZ414" s="16"/>
      <c r="BA414" s="16"/>
      <c r="BB414" s="16"/>
      <c r="BC414" s="16"/>
      <c r="BD414" s="16"/>
      <c r="BE414" s="16"/>
      <c r="BF414" s="16"/>
      <c r="BG414" s="16"/>
      <c r="BH414" s="16"/>
      <c r="BI414"/>
      <c r="BJ414"/>
      <c r="BK414"/>
      <c r="BL414"/>
      <c r="BM414"/>
      <c r="BN414"/>
      <c r="BO414"/>
      <c r="BP414"/>
      <c r="BQ414" s="55"/>
      <c r="BR414"/>
      <c r="BS414"/>
      <c r="BT414"/>
      <c r="BU414"/>
      <c r="BV414"/>
      <c r="BW414"/>
      <c r="BX414"/>
      <c r="BY414"/>
      <c r="BZ414"/>
      <c r="CA414"/>
      <c r="CB414"/>
      <c r="CC414"/>
      <c r="CD414"/>
      <c r="CE414"/>
      <c r="CF414"/>
      <c r="CH414" s="55"/>
      <c r="CI414"/>
      <c r="CJ414" s="16"/>
      <c r="CK414" s="16"/>
      <c r="CL414" s="28"/>
      <c r="CM414" s="28"/>
      <c r="CN414" s="28"/>
      <c r="CO414" s="28"/>
      <c r="CP414" s="28"/>
      <c r="CQ414" s="28"/>
      <c r="CR414" s="28"/>
      <c r="CS414" s="28"/>
      <c r="CT414" s="28"/>
      <c r="CU414" s="28"/>
      <c r="CV414" s="28"/>
      <c r="CW414" s="28"/>
      <c r="CX414" s="28"/>
      <c r="CY414" s="28"/>
      <c r="CZ414" s="28"/>
      <c r="DA414" s="28"/>
      <c r="DB414" s="28"/>
      <c r="DC414" s="28"/>
      <c r="DD414" s="28"/>
      <c r="DF414" s="55"/>
      <c r="DX414" s="28"/>
    </row>
    <row r="415" spans="1:128" s="19" customFormat="1" ht="16" customHeight="1">
      <c r="A415" s="18"/>
      <c r="B415" s="17"/>
      <c r="C415" s="16"/>
      <c r="D415" s="16"/>
      <c r="E415" s="16"/>
      <c r="F415" s="16"/>
      <c r="G415" s="16"/>
      <c r="H415" s="20"/>
      <c r="I415" s="20"/>
      <c r="J415" s="20"/>
      <c r="K415" s="20"/>
      <c r="L415" s="20"/>
      <c r="M415" s="20"/>
      <c r="N415" s="20"/>
      <c r="O415" s="20"/>
      <c r="P415" s="20"/>
      <c r="Q415" s="20"/>
      <c r="R415" s="20"/>
      <c r="S415" s="20"/>
      <c r="T415"/>
      <c r="U415"/>
      <c r="V415"/>
      <c r="W415"/>
      <c r="X415"/>
      <c r="Y415"/>
      <c r="Z415" s="16"/>
      <c r="AA415" s="16"/>
      <c r="AB415" s="55"/>
      <c r="AC415"/>
      <c r="AD415"/>
      <c r="AE415"/>
      <c r="AF415"/>
      <c r="AG415"/>
      <c r="AH415"/>
      <c r="AI415"/>
      <c r="AJ415"/>
      <c r="AK415"/>
      <c r="AL415"/>
      <c r="AM415"/>
      <c r="AN415"/>
      <c r="AO415"/>
      <c r="AP415"/>
      <c r="AQ415"/>
      <c r="AS415" s="55"/>
      <c r="AT415"/>
      <c r="AU415" s="41"/>
      <c r="AV415" s="16"/>
      <c r="AW415" s="16"/>
      <c r="AX415" s="16"/>
      <c r="AY415" s="16"/>
      <c r="AZ415" s="16"/>
      <c r="BA415" s="16"/>
      <c r="BB415" s="16"/>
      <c r="BC415" s="16"/>
      <c r="BD415" s="16"/>
      <c r="BE415" s="16"/>
      <c r="BF415" s="16"/>
      <c r="BG415" s="16"/>
      <c r="BH415" s="16"/>
      <c r="BI415"/>
      <c r="BJ415"/>
      <c r="BK415"/>
      <c r="BL415"/>
      <c r="BM415"/>
      <c r="BN415"/>
      <c r="BO415"/>
      <c r="BP415"/>
      <c r="BQ415" s="55"/>
      <c r="BR415"/>
      <c r="BS415"/>
      <c r="BT415"/>
      <c r="BU415"/>
      <c r="BV415"/>
      <c r="BW415"/>
      <c r="BX415"/>
      <c r="BY415"/>
      <c r="BZ415"/>
      <c r="CA415"/>
      <c r="CB415"/>
      <c r="CC415"/>
      <c r="CD415"/>
      <c r="CE415"/>
      <c r="CF415"/>
      <c r="CH415" s="55"/>
      <c r="CI415"/>
      <c r="CJ415" s="16"/>
      <c r="CK415" s="16"/>
      <c r="CL415" s="28"/>
      <c r="CM415" s="28"/>
      <c r="CN415" s="28"/>
      <c r="CO415" s="28"/>
      <c r="CP415" s="28"/>
      <c r="CQ415" s="28"/>
      <c r="CR415" s="28"/>
      <c r="CS415" s="28"/>
      <c r="CT415" s="28"/>
      <c r="CU415" s="28"/>
      <c r="CV415" s="28"/>
      <c r="CW415" s="28"/>
      <c r="CX415" s="28"/>
      <c r="CY415" s="28"/>
      <c r="CZ415" s="28"/>
      <c r="DA415" s="28"/>
      <c r="DB415" s="28"/>
      <c r="DC415" s="28"/>
      <c r="DD415" s="28"/>
      <c r="DF415" s="55"/>
      <c r="DX415" s="28"/>
    </row>
    <row r="416" spans="1:128" s="19" customFormat="1" ht="16" customHeight="1">
      <c r="A416" s="18"/>
      <c r="B416" s="17"/>
      <c r="C416" s="16"/>
      <c r="D416" s="16"/>
      <c r="E416" s="16"/>
      <c r="F416" s="16"/>
      <c r="G416" s="16"/>
      <c r="H416" s="20"/>
      <c r="I416" s="20"/>
      <c r="J416" s="20"/>
      <c r="K416" s="20"/>
      <c r="L416" s="20"/>
      <c r="M416" s="20"/>
      <c r="N416" s="20"/>
      <c r="O416" s="20"/>
      <c r="P416" s="20"/>
      <c r="Q416" s="20"/>
      <c r="R416" s="20"/>
      <c r="S416" s="20"/>
      <c r="T416"/>
      <c r="U416"/>
      <c r="V416"/>
      <c r="W416"/>
      <c r="X416"/>
      <c r="Y416"/>
      <c r="Z416" s="16"/>
      <c r="AA416" s="16"/>
      <c r="AB416" s="55"/>
      <c r="AC416"/>
      <c r="AD416"/>
      <c r="AE416"/>
      <c r="AF416"/>
      <c r="AG416"/>
      <c r="AH416"/>
      <c r="AI416"/>
      <c r="AJ416"/>
      <c r="AK416"/>
      <c r="AL416"/>
      <c r="AM416"/>
      <c r="AN416"/>
      <c r="AO416"/>
      <c r="AP416"/>
      <c r="AQ416"/>
      <c r="AS416" s="55"/>
      <c r="AT416"/>
      <c r="AU416" s="41"/>
      <c r="AV416" s="16"/>
      <c r="AW416" s="16"/>
      <c r="AX416" s="16"/>
      <c r="AY416" s="16"/>
      <c r="AZ416" s="16"/>
      <c r="BA416" s="16"/>
      <c r="BB416" s="16"/>
      <c r="BC416" s="16"/>
      <c r="BD416" s="16"/>
      <c r="BE416" s="16"/>
      <c r="BF416" s="16"/>
      <c r="BG416" s="16"/>
      <c r="BH416" s="16"/>
      <c r="BI416"/>
      <c r="BJ416"/>
      <c r="BK416"/>
      <c r="BL416"/>
      <c r="BM416"/>
      <c r="BN416"/>
      <c r="BO416"/>
      <c r="BP416"/>
      <c r="BQ416" s="55"/>
      <c r="BR416"/>
      <c r="BS416"/>
      <c r="BT416"/>
      <c r="BU416"/>
      <c r="BV416"/>
      <c r="BW416"/>
      <c r="BX416"/>
      <c r="BY416"/>
      <c r="BZ416"/>
      <c r="CA416"/>
      <c r="CB416"/>
      <c r="CC416"/>
      <c r="CD416"/>
      <c r="CE416"/>
      <c r="CF416"/>
      <c r="CH416" s="55"/>
      <c r="CI416"/>
      <c r="CJ416" s="16"/>
      <c r="CK416" s="16"/>
      <c r="CL416" s="28"/>
      <c r="CM416" s="28"/>
      <c r="CN416" s="28"/>
      <c r="CO416" s="28"/>
      <c r="CP416" s="28"/>
      <c r="CQ416" s="28"/>
      <c r="CR416" s="28"/>
      <c r="CS416" s="28"/>
      <c r="CT416" s="28"/>
      <c r="CU416" s="28"/>
      <c r="CV416" s="28"/>
      <c r="CW416" s="28"/>
      <c r="CX416" s="28"/>
      <c r="CY416" s="28"/>
      <c r="CZ416" s="28"/>
      <c r="DA416" s="28"/>
      <c r="DB416" s="28"/>
      <c r="DC416" s="28"/>
      <c r="DD416" s="28"/>
      <c r="DF416" s="55"/>
      <c r="DX416" s="28"/>
    </row>
    <row r="417" spans="1:128" s="19" customFormat="1" ht="16" customHeight="1">
      <c r="A417" s="18"/>
      <c r="B417" s="17"/>
      <c r="C417" s="16"/>
      <c r="D417" s="16"/>
      <c r="E417" s="16"/>
      <c r="F417" s="16"/>
      <c r="G417" s="16"/>
      <c r="H417" s="20"/>
      <c r="I417" s="20"/>
      <c r="J417" s="20"/>
      <c r="K417" s="20"/>
      <c r="L417" s="20"/>
      <c r="M417" s="20"/>
      <c r="N417" s="20"/>
      <c r="O417" s="20"/>
      <c r="P417" s="20"/>
      <c r="Q417" s="20"/>
      <c r="R417" s="20"/>
      <c r="S417" s="20"/>
      <c r="T417"/>
      <c r="U417"/>
      <c r="V417"/>
      <c r="W417"/>
      <c r="X417"/>
      <c r="Y417"/>
      <c r="Z417" s="16"/>
      <c r="AA417" s="16"/>
      <c r="AB417" s="55"/>
      <c r="AC417"/>
      <c r="AD417"/>
      <c r="AE417"/>
      <c r="AF417"/>
      <c r="AG417"/>
      <c r="AH417"/>
      <c r="AI417"/>
      <c r="AJ417"/>
      <c r="AK417"/>
      <c r="AL417"/>
      <c r="AM417"/>
      <c r="AN417"/>
      <c r="AO417"/>
      <c r="AP417"/>
      <c r="AQ417"/>
      <c r="AS417" s="55"/>
      <c r="AT417"/>
      <c r="AU417" s="41"/>
      <c r="AV417" s="16"/>
      <c r="AW417" s="16"/>
      <c r="AX417" s="16"/>
      <c r="AY417" s="16"/>
      <c r="AZ417" s="16"/>
      <c r="BA417" s="16"/>
      <c r="BB417" s="16"/>
      <c r="BC417" s="16"/>
      <c r="BD417" s="16"/>
      <c r="BE417" s="16"/>
      <c r="BF417" s="16"/>
      <c r="BG417" s="16"/>
      <c r="BH417" s="16"/>
      <c r="BI417"/>
      <c r="BJ417"/>
      <c r="BK417"/>
      <c r="BL417"/>
      <c r="BM417"/>
      <c r="BN417"/>
      <c r="BO417"/>
      <c r="BP417"/>
      <c r="BQ417" s="55"/>
      <c r="BR417"/>
      <c r="BS417"/>
      <c r="BT417"/>
      <c r="BU417"/>
      <c r="BV417"/>
      <c r="BW417"/>
      <c r="BX417"/>
      <c r="BY417"/>
      <c r="BZ417"/>
      <c r="CA417"/>
      <c r="CB417"/>
      <c r="CC417"/>
      <c r="CD417"/>
      <c r="CE417"/>
      <c r="CF417"/>
      <c r="CH417" s="55"/>
      <c r="CI417"/>
      <c r="CJ417" s="16"/>
      <c r="CK417" s="16"/>
      <c r="CL417" s="28"/>
      <c r="CM417" s="28"/>
      <c r="CN417" s="28"/>
      <c r="CO417" s="28"/>
      <c r="CP417" s="28"/>
      <c r="CQ417" s="28"/>
      <c r="CR417" s="28"/>
      <c r="CS417" s="28"/>
      <c r="CT417" s="28"/>
      <c r="CU417" s="28"/>
      <c r="CV417" s="28"/>
      <c r="CW417" s="28"/>
      <c r="CX417" s="28"/>
      <c r="CY417" s="28"/>
      <c r="CZ417" s="28"/>
      <c r="DA417" s="28"/>
      <c r="DB417" s="28"/>
      <c r="DC417" s="28"/>
      <c r="DD417" s="28"/>
      <c r="DF417" s="55"/>
      <c r="DX417" s="28"/>
    </row>
    <row r="418" spans="1:128" s="19" customFormat="1" ht="16" customHeight="1">
      <c r="A418" s="18"/>
      <c r="B418" s="17"/>
      <c r="C418" s="16"/>
      <c r="D418" s="16"/>
      <c r="E418" s="16"/>
      <c r="F418" s="16"/>
      <c r="G418" s="16"/>
      <c r="H418" s="20"/>
      <c r="I418" s="20"/>
      <c r="J418" s="20"/>
      <c r="K418" s="20"/>
      <c r="L418" s="20"/>
      <c r="M418" s="20"/>
      <c r="N418" s="20"/>
      <c r="O418" s="20"/>
      <c r="P418" s="20"/>
      <c r="Q418" s="20"/>
      <c r="R418" s="20"/>
      <c r="S418" s="20"/>
      <c r="T418"/>
      <c r="U418"/>
      <c r="V418"/>
      <c r="W418"/>
      <c r="X418"/>
      <c r="Y418"/>
      <c r="Z418" s="16"/>
      <c r="AA418" s="16"/>
      <c r="AB418" s="55"/>
      <c r="AC418"/>
      <c r="AD418"/>
      <c r="AE418"/>
      <c r="AF418"/>
      <c r="AG418"/>
      <c r="AH418"/>
      <c r="AI418"/>
      <c r="AJ418"/>
      <c r="AK418"/>
      <c r="AL418"/>
      <c r="AM418"/>
      <c r="AN418"/>
      <c r="AO418"/>
      <c r="AP418"/>
      <c r="AQ418"/>
      <c r="AS418" s="55"/>
      <c r="AT418"/>
      <c r="AU418" s="41"/>
      <c r="AV418" s="16"/>
      <c r="AW418" s="16"/>
      <c r="AX418" s="16"/>
      <c r="AY418" s="16"/>
      <c r="AZ418" s="16"/>
      <c r="BA418" s="16"/>
      <c r="BB418" s="16"/>
      <c r="BC418" s="16"/>
      <c r="BD418" s="16"/>
      <c r="BE418" s="16"/>
      <c r="BF418" s="16"/>
      <c r="BG418" s="16"/>
      <c r="BH418" s="16"/>
      <c r="BI418"/>
      <c r="BJ418"/>
      <c r="BK418"/>
      <c r="BL418"/>
      <c r="BM418"/>
      <c r="BN418"/>
      <c r="BO418"/>
      <c r="BP418"/>
      <c r="BQ418" s="55"/>
      <c r="BR418"/>
      <c r="BS418"/>
      <c r="BT418"/>
      <c r="BU418"/>
      <c r="BV418"/>
      <c r="BW418"/>
      <c r="BX418"/>
      <c r="BY418"/>
      <c r="BZ418"/>
      <c r="CA418"/>
      <c r="CB418"/>
      <c r="CC418"/>
      <c r="CD418"/>
      <c r="CE418"/>
      <c r="CF418"/>
      <c r="CH418" s="55"/>
      <c r="CI418"/>
      <c r="CJ418" s="16"/>
      <c r="CK418" s="16"/>
      <c r="CL418" s="28"/>
      <c r="CM418" s="28"/>
      <c r="CN418" s="28"/>
      <c r="CO418" s="28"/>
      <c r="CP418" s="28"/>
      <c r="CQ418" s="28"/>
      <c r="CR418" s="28"/>
      <c r="CS418" s="28"/>
      <c r="CT418" s="28"/>
      <c r="CU418" s="28"/>
      <c r="CV418" s="28"/>
      <c r="CW418" s="28"/>
      <c r="CX418" s="28"/>
      <c r="CY418" s="28"/>
      <c r="CZ418" s="28"/>
      <c r="DA418" s="28"/>
      <c r="DB418" s="28"/>
      <c r="DC418" s="28"/>
      <c r="DD418" s="28"/>
      <c r="DF418" s="55"/>
      <c r="DX418" s="28"/>
    </row>
    <row r="419" spans="1:128" s="19" customFormat="1" ht="16" customHeight="1">
      <c r="A419" s="18"/>
      <c r="B419" s="17"/>
      <c r="C419" s="16"/>
      <c r="D419" s="16"/>
      <c r="E419" s="16"/>
      <c r="F419" s="16"/>
      <c r="G419" s="16"/>
      <c r="H419" s="20"/>
      <c r="I419" s="20"/>
      <c r="J419" s="20"/>
      <c r="K419" s="20"/>
      <c r="L419" s="20"/>
      <c r="M419" s="20"/>
      <c r="N419" s="20"/>
      <c r="O419" s="20"/>
      <c r="P419" s="20"/>
      <c r="Q419" s="20"/>
      <c r="R419" s="20"/>
      <c r="S419" s="20"/>
      <c r="T419"/>
      <c r="U419"/>
      <c r="V419"/>
      <c r="W419"/>
      <c r="X419"/>
      <c r="Y419"/>
      <c r="Z419" s="16"/>
      <c r="AA419" s="16"/>
      <c r="AB419" s="55"/>
      <c r="AC419"/>
      <c r="AD419"/>
      <c r="AE419"/>
      <c r="AF419"/>
      <c r="AG419"/>
      <c r="AH419"/>
      <c r="AI419"/>
      <c r="AJ419"/>
      <c r="AK419"/>
      <c r="AL419"/>
      <c r="AM419"/>
      <c r="AN419"/>
      <c r="AO419"/>
      <c r="AP419"/>
      <c r="AQ419"/>
      <c r="AS419" s="55"/>
      <c r="AT419"/>
      <c r="AU419" s="41"/>
      <c r="AV419" s="16"/>
      <c r="AW419" s="16"/>
      <c r="AX419" s="16"/>
      <c r="AY419" s="16"/>
      <c r="AZ419" s="16"/>
      <c r="BA419" s="16"/>
      <c r="BB419" s="16"/>
      <c r="BC419" s="16"/>
      <c r="BD419" s="16"/>
      <c r="BE419" s="16"/>
      <c r="BF419" s="16"/>
      <c r="BG419" s="16"/>
      <c r="BH419" s="16"/>
      <c r="BI419"/>
      <c r="BJ419"/>
      <c r="BK419"/>
      <c r="BL419"/>
      <c r="BM419"/>
      <c r="BN419"/>
      <c r="BO419"/>
      <c r="BP419"/>
      <c r="BQ419" s="55"/>
      <c r="BR419"/>
      <c r="BS419"/>
      <c r="BT419"/>
      <c r="BU419"/>
      <c r="BV419"/>
      <c r="BW419"/>
      <c r="BX419"/>
      <c r="BY419"/>
      <c r="BZ419"/>
      <c r="CA419"/>
      <c r="CB419"/>
      <c r="CC419"/>
      <c r="CD419"/>
      <c r="CE419"/>
      <c r="CF419"/>
      <c r="CH419" s="55"/>
      <c r="CI419"/>
      <c r="CJ419" s="16"/>
      <c r="CK419" s="16"/>
      <c r="CL419" s="28"/>
      <c r="CM419" s="28"/>
      <c r="CN419" s="28"/>
      <c r="CO419" s="28"/>
      <c r="CP419" s="28"/>
      <c r="CQ419" s="28"/>
      <c r="CR419" s="28"/>
      <c r="CS419" s="28"/>
      <c r="CT419" s="28"/>
      <c r="CU419" s="28"/>
      <c r="CV419" s="28"/>
      <c r="CW419" s="28"/>
      <c r="CX419" s="28"/>
      <c r="CY419" s="28"/>
      <c r="CZ419" s="28"/>
      <c r="DA419" s="28"/>
      <c r="DB419" s="28"/>
      <c r="DC419" s="28"/>
      <c r="DD419" s="28"/>
      <c r="DF419" s="55"/>
      <c r="DX419" s="28"/>
    </row>
    <row r="420" spans="1:128" s="19" customFormat="1" ht="16" customHeight="1">
      <c r="A420" s="18"/>
      <c r="B420" s="17"/>
      <c r="C420" s="16"/>
      <c r="D420" s="16"/>
      <c r="E420" s="16"/>
      <c r="F420" s="16"/>
      <c r="G420" s="16"/>
      <c r="H420" s="20"/>
      <c r="I420" s="20"/>
      <c r="J420" s="20"/>
      <c r="K420" s="20"/>
      <c r="L420" s="20"/>
      <c r="M420" s="20"/>
      <c r="N420" s="20"/>
      <c r="O420" s="20"/>
      <c r="P420" s="20"/>
      <c r="Q420" s="20"/>
      <c r="R420" s="20"/>
      <c r="S420" s="20"/>
      <c r="T420"/>
      <c r="U420"/>
      <c r="V420"/>
      <c r="W420"/>
      <c r="X420"/>
      <c r="Y420"/>
      <c r="Z420" s="16"/>
      <c r="AA420" s="16"/>
      <c r="AB420" s="55"/>
      <c r="AC420"/>
      <c r="AD420"/>
      <c r="AE420"/>
      <c r="AF420"/>
      <c r="AG420"/>
      <c r="AH420"/>
      <c r="AI420"/>
      <c r="AJ420"/>
      <c r="AK420"/>
      <c r="AL420"/>
      <c r="AM420"/>
      <c r="AN420"/>
      <c r="AO420"/>
      <c r="AP420"/>
      <c r="AQ420"/>
      <c r="AS420" s="55"/>
      <c r="AT420"/>
      <c r="AU420" s="41"/>
      <c r="AV420" s="16"/>
      <c r="AW420" s="16"/>
      <c r="AX420" s="16"/>
      <c r="AY420" s="16"/>
      <c r="AZ420" s="16"/>
      <c r="BA420" s="16"/>
      <c r="BB420" s="16"/>
      <c r="BC420" s="16"/>
      <c r="BD420" s="16"/>
      <c r="BE420" s="16"/>
      <c r="BF420" s="16"/>
      <c r="BG420" s="16"/>
      <c r="BH420" s="16"/>
      <c r="BI420"/>
      <c r="BJ420"/>
      <c r="BK420"/>
      <c r="BL420"/>
      <c r="BM420"/>
      <c r="BN420"/>
      <c r="BO420"/>
      <c r="BP420"/>
      <c r="BQ420" s="55"/>
      <c r="BR420"/>
      <c r="BS420"/>
      <c r="BT420"/>
      <c r="BU420"/>
      <c r="BV420"/>
      <c r="BW420"/>
      <c r="BX420"/>
      <c r="BY420"/>
      <c r="BZ420"/>
      <c r="CA420"/>
      <c r="CB420"/>
      <c r="CC420"/>
      <c r="CD420"/>
      <c r="CE420"/>
      <c r="CF420"/>
      <c r="CH420" s="55"/>
      <c r="CI420"/>
      <c r="CJ420" s="16"/>
      <c r="CK420" s="16"/>
      <c r="CL420" s="28"/>
      <c r="CM420" s="28"/>
      <c r="CN420" s="28"/>
      <c r="CO420" s="28"/>
      <c r="CP420" s="28"/>
      <c r="CQ420" s="28"/>
      <c r="CR420" s="28"/>
      <c r="CS420" s="28"/>
      <c r="CT420" s="28"/>
      <c r="CU420" s="28"/>
      <c r="CV420" s="28"/>
      <c r="CW420" s="28"/>
      <c r="CX420" s="28"/>
      <c r="CY420" s="28"/>
      <c r="CZ420" s="28"/>
      <c r="DA420" s="28"/>
      <c r="DB420" s="28"/>
      <c r="DC420" s="28"/>
      <c r="DD420" s="28"/>
      <c r="DF420" s="55"/>
      <c r="DX420" s="28"/>
    </row>
    <row r="421" spans="1:128" s="19" customFormat="1" ht="16" customHeight="1">
      <c r="A421" s="18"/>
      <c r="B421" s="17"/>
      <c r="C421" s="16"/>
      <c r="D421" s="16"/>
      <c r="E421" s="16"/>
      <c r="F421" s="16"/>
      <c r="G421" s="16"/>
      <c r="H421" s="20"/>
      <c r="I421" s="20"/>
      <c r="J421" s="20"/>
      <c r="K421" s="20"/>
      <c r="L421" s="20"/>
      <c r="M421" s="20"/>
      <c r="N421" s="20"/>
      <c r="O421" s="20"/>
      <c r="P421" s="20"/>
      <c r="Q421" s="20"/>
      <c r="R421" s="20"/>
      <c r="S421" s="20"/>
      <c r="T421"/>
      <c r="U421"/>
      <c r="V421"/>
      <c r="W421"/>
      <c r="X421"/>
      <c r="Y421"/>
      <c r="Z421" s="16"/>
      <c r="AA421" s="16"/>
      <c r="AB421" s="55"/>
      <c r="AC421"/>
      <c r="AD421"/>
      <c r="AE421"/>
      <c r="AF421"/>
      <c r="AG421"/>
      <c r="AH421"/>
      <c r="AI421"/>
      <c r="AJ421"/>
      <c r="AK421"/>
      <c r="AL421"/>
      <c r="AM421"/>
      <c r="AN421"/>
      <c r="AO421"/>
      <c r="AP421"/>
      <c r="AQ421"/>
      <c r="AS421" s="55"/>
      <c r="AT421"/>
      <c r="AU421" s="41"/>
      <c r="AV421" s="16"/>
      <c r="AW421" s="16"/>
      <c r="AX421" s="16"/>
      <c r="AY421" s="16"/>
      <c r="AZ421" s="16"/>
      <c r="BA421" s="16"/>
      <c r="BB421" s="16"/>
      <c r="BC421" s="16"/>
      <c r="BD421" s="16"/>
      <c r="BE421" s="16"/>
      <c r="BF421" s="16"/>
      <c r="BG421" s="16"/>
      <c r="BH421" s="16"/>
      <c r="BI421"/>
      <c r="BJ421"/>
      <c r="BK421"/>
      <c r="BL421"/>
      <c r="BM421"/>
      <c r="BN421"/>
      <c r="BO421"/>
      <c r="BP421"/>
      <c r="BQ421" s="55"/>
      <c r="BR421"/>
      <c r="BS421"/>
      <c r="BT421"/>
      <c r="BU421"/>
      <c r="BV421"/>
      <c r="BW421"/>
      <c r="BX421"/>
      <c r="BY421"/>
      <c r="BZ421"/>
      <c r="CA421"/>
      <c r="CB421"/>
      <c r="CC421"/>
      <c r="CD421"/>
      <c r="CE421"/>
      <c r="CF421"/>
      <c r="CH421" s="55"/>
      <c r="CI421"/>
      <c r="CJ421" s="16"/>
      <c r="CK421" s="16"/>
      <c r="CL421" s="28"/>
      <c r="CM421" s="28"/>
      <c r="CN421" s="28"/>
      <c r="CO421" s="28"/>
      <c r="CP421" s="28"/>
      <c r="CQ421" s="28"/>
      <c r="CR421" s="28"/>
      <c r="CS421" s="28"/>
      <c r="CT421" s="28"/>
      <c r="CU421" s="28"/>
      <c r="CV421" s="28"/>
      <c r="CW421" s="28"/>
      <c r="CX421" s="28"/>
      <c r="CY421" s="28"/>
      <c r="CZ421" s="28"/>
      <c r="DA421" s="28"/>
      <c r="DB421" s="28"/>
      <c r="DC421" s="28"/>
      <c r="DD421" s="28"/>
      <c r="DF421" s="55"/>
      <c r="DX421" s="28"/>
    </row>
    <row r="422" spans="1:128" s="19" customFormat="1" ht="16" customHeight="1">
      <c r="A422" s="18"/>
      <c r="B422" s="17"/>
      <c r="C422" s="16"/>
      <c r="D422" s="16"/>
      <c r="E422" s="16"/>
      <c r="F422" s="16"/>
      <c r="G422" s="16"/>
      <c r="H422" s="20"/>
      <c r="I422" s="20"/>
      <c r="J422" s="20"/>
      <c r="K422" s="20"/>
      <c r="L422" s="20"/>
      <c r="M422" s="20"/>
      <c r="N422" s="20"/>
      <c r="O422" s="20"/>
      <c r="P422" s="20"/>
      <c r="Q422" s="20"/>
      <c r="R422" s="20"/>
      <c r="S422" s="20"/>
      <c r="T422"/>
      <c r="U422"/>
      <c r="V422"/>
      <c r="W422"/>
      <c r="X422"/>
      <c r="Y422"/>
      <c r="Z422" s="16"/>
      <c r="AA422" s="16"/>
      <c r="AB422" s="55"/>
      <c r="AC422"/>
      <c r="AD422"/>
      <c r="AE422"/>
      <c r="AF422"/>
      <c r="AG422"/>
      <c r="AH422"/>
      <c r="AI422"/>
      <c r="AJ422"/>
      <c r="AK422"/>
      <c r="AL422"/>
      <c r="AM422"/>
      <c r="AN422"/>
      <c r="AO422"/>
      <c r="AP422"/>
      <c r="AQ422"/>
      <c r="AS422" s="55"/>
      <c r="AT422"/>
      <c r="AU422" s="41"/>
      <c r="AV422" s="16"/>
      <c r="AW422" s="16"/>
      <c r="AX422" s="16"/>
      <c r="AY422" s="16"/>
      <c r="AZ422" s="16"/>
      <c r="BA422" s="16"/>
      <c r="BB422" s="16"/>
      <c r="BC422" s="16"/>
      <c r="BD422" s="16"/>
      <c r="BE422" s="16"/>
      <c r="BF422" s="16"/>
      <c r="BG422" s="16"/>
      <c r="BH422" s="16"/>
      <c r="BI422"/>
      <c r="BJ422"/>
      <c r="BK422"/>
      <c r="BL422"/>
      <c r="BM422"/>
      <c r="BN422"/>
      <c r="BO422"/>
      <c r="BP422"/>
      <c r="BQ422" s="55"/>
      <c r="BR422"/>
      <c r="BS422"/>
      <c r="BT422"/>
      <c r="BU422"/>
      <c r="BV422"/>
      <c r="BW422"/>
      <c r="BX422"/>
      <c r="BY422"/>
      <c r="BZ422"/>
      <c r="CA422"/>
      <c r="CB422"/>
      <c r="CC422"/>
      <c r="CD422"/>
      <c r="CE422"/>
      <c r="CF422"/>
      <c r="CH422" s="55"/>
      <c r="CI422"/>
      <c r="CJ422" s="16"/>
      <c r="CK422" s="16"/>
      <c r="CL422" s="28"/>
      <c r="CM422" s="28"/>
      <c r="CN422" s="28"/>
      <c r="CO422" s="28"/>
      <c r="CP422" s="28"/>
      <c r="CQ422" s="28"/>
      <c r="CR422" s="28"/>
      <c r="CS422" s="28"/>
      <c r="CT422" s="28"/>
      <c r="CU422" s="28"/>
      <c r="CV422" s="28"/>
      <c r="CW422" s="28"/>
      <c r="CX422" s="28"/>
      <c r="CY422" s="28"/>
      <c r="CZ422" s="28"/>
      <c r="DA422" s="28"/>
      <c r="DB422" s="28"/>
      <c r="DC422" s="28"/>
      <c r="DD422" s="28"/>
      <c r="DF422" s="55"/>
      <c r="DX422" s="28"/>
    </row>
    <row r="423" spans="1:128" s="19" customFormat="1" ht="16" customHeight="1">
      <c r="A423" s="18"/>
      <c r="B423" s="17"/>
      <c r="C423" s="16"/>
      <c r="D423" s="16"/>
      <c r="E423" s="16"/>
      <c r="F423" s="16"/>
      <c r="G423" s="16"/>
      <c r="H423" s="20"/>
      <c r="I423" s="20"/>
      <c r="J423" s="20"/>
      <c r="K423" s="20"/>
      <c r="L423" s="20"/>
      <c r="M423" s="20"/>
      <c r="N423" s="20"/>
      <c r="O423" s="20"/>
      <c r="P423" s="20"/>
      <c r="Q423" s="20"/>
      <c r="R423" s="20"/>
      <c r="S423" s="20"/>
      <c r="T423"/>
      <c r="U423"/>
      <c r="V423"/>
      <c r="W423"/>
      <c r="X423"/>
      <c r="Y423"/>
      <c r="Z423" s="16"/>
      <c r="AA423" s="16"/>
      <c r="AB423" s="55"/>
      <c r="AC423"/>
      <c r="AD423"/>
      <c r="AE423"/>
      <c r="AF423"/>
      <c r="AG423"/>
      <c r="AH423"/>
      <c r="AI423"/>
      <c r="AJ423"/>
      <c r="AK423"/>
      <c r="AL423"/>
      <c r="AM423"/>
      <c r="AN423"/>
      <c r="AO423"/>
      <c r="AP423"/>
      <c r="AQ423"/>
      <c r="AS423" s="55"/>
      <c r="AT423"/>
      <c r="AU423" s="41"/>
      <c r="AV423" s="16"/>
      <c r="AW423" s="16"/>
      <c r="AX423" s="16"/>
      <c r="AY423" s="16"/>
      <c r="AZ423" s="16"/>
      <c r="BA423" s="16"/>
      <c r="BB423" s="16"/>
      <c r="BC423" s="16"/>
      <c r="BD423" s="16"/>
      <c r="BE423" s="16"/>
      <c r="BF423" s="16"/>
      <c r="BG423" s="16"/>
      <c r="BH423" s="16"/>
      <c r="BI423"/>
      <c r="BJ423"/>
      <c r="BK423"/>
      <c r="BL423"/>
      <c r="BM423"/>
      <c r="BN423"/>
      <c r="BO423"/>
      <c r="BP423"/>
      <c r="BQ423" s="55"/>
      <c r="BR423"/>
      <c r="BS423"/>
      <c r="BT423"/>
      <c r="BU423"/>
      <c r="BV423"/>
      <c r="BW423"/>
      <c r="BX423"/>
      <c r="BY423"/>
      <c r="BZ423"/>
      <c r="CA423"/>
      <c r="CB423"/>
      <c r="CC423"/>
      <c r="CD423"/>
      <c r="CE423"/>
      <c r="CF423"/>
      <c r="CH423" s="55"/>
      <c r="CI423"/>
      <c r="CJ423" s="16"/>
      <c r="CK423" s="16"/>
      <c r="CL423" s="28"/>
      <c r="CM423" s="28"/>
      <c r="CN423" s="28"/>
      <c r="CO423" s="28"/>
      <c r="CP423" s="28"/>
      <c r="CQ423" s="28"/>
      <c r="CR423" s="28"/>
      <c r="CS423" s="28"/>
      <c r="CT423" s="28"/>
      <c r="CU423" s="28"/>
      <c r="CV423" s="28"/>
      <c r="CW423" s="28"/>
      <c r="CX423" s="28"/>
      <c r="CY423" s="28"/>
      <c r="CZ423" s="28"/>
      <c r="DA423" s="28"/>
      <c r="DB423" s="28"/>
      <c r="DC423" s="28"/>
      <c r="DD423" s="28"/>
      <c r="DF423" s="55"/>
      <c r="DX423" s="28"/>
    </row>
    <row r="424" spans="1:128" s="19" customFormat="1" ht="16" customHeight="1">
      <c r="A424" s="18"/>
      <c r="B424" s="17"/>
      <c r="C424" s="16"/>
      <c r="D424" s="16"/>
      <c r="E424" s="16"/>
      <c r="F424" s="16"/>
      <c r="G424" s="16"/>
      <c r="H424" s="20"/>
      <c r="I424" s="20"/>
      <c r="J424" s="20"/>
      <c r="K424" s="20"/>
      <c r="L424" s="20"/>
      <c r="M424" s="20"/>
      <c r="N424" s="20"/>
      <c r="O424" s="20"/>
      <c r="P424" s="20"/>
      <c r="Q424" s="20"/>
      <c r="R424" s="20"/>
      <c r="S424" s="20"/>
      <c r="T424"/>
      <c r="U424"/>
      <c r="V424"/>
      <c r="W424"/>
      <c r="X424"/>
      <c r="Y424"/>
      <c r="Z424" s="16"/>
      <c r="AA424" s="16"/>
      <c r="AB424" s="55"/>
      <c r="AC424"/>
      <c r="AD424"/>
      <c r="AE424"/>
      <c r="AF424"/>
      <c r="AG424"/>
      <c r="AH424"/>
      <c r="AI424"/>
      <c r="AJ424"/>
      <c r="AK424"/>
      <c r="AL424"/>
      <c r="AM424"/>
      <c r="AN424"/>
      <c r="AO424"/>
      <c r="AP424"/>
      <c r="AQ424"/>
      <c r="AS424" s="55"/>
      <c r="AT424"/>
      <c r="AU424" s="41"/>
      <c r="AV424" s="16"/>
      <c r="AW424" s="16"/>
      <c r="AX424" s="16"/>
      <c r="AY424" s="16"/>
      <c r="AZ424" s="16"/>
      <c r="BA424" s="16"/>
      <c r="BB424" s="16"/>
      <c r="BC424" s="16"/>
      <c r="BD424" s="16"/>
      <c r="BE424" s="16"/>
      <c r="BF424" s="16"/>
      <c r="BG424" s="16"/>
      <c r="BH424" s="16"/>
      <c r="BI424"/>
      <c r="BJ424"/>
      <c r="BK424"/>
      <c r="BL424"/>
      <c r="BM424"/>
      <c r="BN424"/>
      <c r="BO424"/>
      <c r="BP424"/>
      <c r="BQ424" s="55"/>
      <c r="BR424"/>
      <c r="BS424"/>
      <c r="BT424"/>
      <c r="BU424"/>
      <c r="BV424"/>
      <c r="BW424"/>
      <c r="BX424"/>
      <c r="BY424"/>
      <c r="BZ424"/>
      <c r="CA424"/>
      <c r="CB424"/>
      <c r="CC424"/>
      <c r="CD424"/>
      <c r="CE424"/>
      <c r="CF424"/>
      <c r="CH424" s="55"/>
      <c r="CI424"/>
      <c r="CJ424" s="16"/>
      <c r="CK424" s="16"/>
      <c r="CL424" s="28"/>
      <c r="CM424" s="28"/>
      <c r="CN424" s="28"/>
      <c r="CO424" s="28"/>
      <c r="CP424" s="28"/>
      <c r="CQ424" s="28"/>
      <c r="CR424" s="28"/>
      <c r="CS424" s="28"/>
      <c r="CT424" s="28"/>
      <c r="CU424" s="28"/>
      <c r="CV424" s="28"/>
      <c r="CW424" s="28"/>
      <c r="CX424" s="28"/>
      <c r="CY424" s="28"/>
      <c r="CZ424" s="28"/>
      <c r="DA424" s="28"/>
      <c r="DB424" s="28"/>
      <c r="DC424" s="28"/>
      <c r="DD424" s="28"/>
      <c r="DF424" s="55"/>
      <c r="DX424" s="28"/>
    </row>
    <row r="425" spans="1:128" s="19" customFormat="1" ht="16" customHeight="1">
      <c r="A425" s="18"/>
      <c r="B425" s="17"/>
      <c r="C425" s="16"/>
      <c r="D425" s="16"/>
      <c r="E425" s="16"/>
      <c r="F425" s="16"/>
      <c r="G425" s="16"/>
      <c r="H425" s="20"/>
      <c r="I425" s="20"/>
      <c r="J425" s="20"/>
      <c r="K425" s="20"/>
      <c r="L425" s="20"/>
      <c r="M425" s="20"/>
      <c r="N425" s="20"/>
      <c r="O425" s="20"/>
      <c r="P425" s="20"/>
      <c r="Q425" s="20"/>
      <c r="R425" s="20"/>
      <c r="S425" s="20"/>
      <c r="T425"/>
      <c r="U425"/>
      <c r="V425"/>
      <c r="W425"/>
      <c r="X425"/>
      <c r="Y425"/>
      <c r="Z425" s="16"/>
      <c r="AA425" s="16"/>
      <c r="AB425" s="55"/>
      <c r="AC425"/>
      <c r="AD425"/>
      <c r="AE425"/>
      <c r="AF425"/>
      <c r="AG425"/>
      <c r="AH425"/>
      <c r="AI425"/>
      <c r="AJ425"/>
      <c r="AK425"/>
      <c r="AL425"/>
      <c r="AM425"/>
      <c r="AN425"/>
      <c r="AO425"/>
      <c r="AP425"/>
      <c r="AQ425"/>
      <c r="AS425" s="55"/>
      <c r="AT425"/>
      <c r="AU425" s="41"/>
      <c r="AV425" s="16"/>
      <c r="AW425" s="16"/>
      <c r="AX425" s="16"/>
      <c r="AY425" s="16"/>
      <c r="AZ425" s="16"/>
      <c r="BA425" s="16"/>
      <c r="BB425" s="16"/>
      <c r="BC425" s="16"/>
      <c r="BD425" s="16"/>
      <c r="BE425" s="16"/>
      <c r="BF425" s="16"/>
      <c r="BG425" s="16"/>
      <c r="BH425" s="16"/>
      <c r="BI425"/>
      <c r="BJ425"/>
      <c r="BK425"/>
      <c r="BL425"/>
      <c r="BM425"/>
      <c r="BN425"/>
      <c r="BO425"/>
      <c r="BP425"/>
      <c r="BQ425" s="55"/>
      <c r="BR425"/>
      <c r="BS425"/>
      <c r="BT425"/>
      <c r="BU425"/>
      <c r="BV425"/>
      <c r="BW425"/>
      <c r="BX425"/>
      <c r="BY425"/>
      <c r="BZ425"/>
      <c r="CA425"/>
      <c r="CB425"/>
      <c r="CC425"/>
      <c r="CD425"/>
      <c r="CE425"/>
      <c r="CF425"/>
      <c r="CH425" s="55"/>
      <c r="CI425"/>
      <c r="CJ425" s="16"/>
      <c r="CK425" s="16"/>
      <c r="CL425" s="28"/>
      <c r="CM425" s="28"/>
      <c r="CN425" s="28"/>
      <c r="CO425" s="28"/>
      <c r="CP425" s="28"/>
      <c r="CQ425" s="28"/>
      <c r="CR425" s="28"/>
      <c r="CS425" s="28"/>
      <c r="CT425" s="28"/>
      <c r="CU425" s="28"/>
      <c r="CV425" s="28"/>
      <c r="CW425" s="28"/>
      <c r="CX425" s="28"/>
      <c r="CY425" s="28"/>
      <c r="CZ425" s="28"/>
      <c r="DA425" s="28"/>
      <c r="DB425" s="28"/>
      <c r="DC425" s="28"/>
      <c r="DD425" s="28"/>
      <c r="DF425" s="55"/>
      <c r="DX425" s="28"/>
    </row>
    <row r="426" spans="1:128" s="19" customFormat="1" ht="16" customHeight="1">
      <c r="A426" s="18"/>
      <c r="B426" s="17"/>
      <c r="C426" s="16"/>
      <c r="D426" s="16"/>
      <c r="E426" s="16"/>
      <c r="F426" s="16"/>
      <c r="G426" s="16"/>
      <c r="H426" s="20"/>
      <c r="I426" s="20"/>
      <c r="J426" s="20"/>
      <c r="K426" s="20"/>
      <c r="L426" s="20"/>
      <c r="M426" s="20"/>
      <c r="N426" s="20"/>
      <c r="O426" s="20"/>
      <c r="P426" s="20"/>
      <c r="Q426" s="20"/>
      <c r="R426" s="20"/>
      <c r="S426" s="20"/>
      <c r="T426"/>
      <c r="U426"/>
      <c r="V426"/>
      <c r="W426"/>
      <c r="X426"/>
      <c r="Y426"/>
      <c r="Z426" s="16"/>
      <c r="AA426" s="16"/>
      <c r="AB426" s="55"/>
      <c r="AC426"/>
      <c r="AD426"/>
      <c r="AE426"/>
      <c r="AF426"/>
      <c r="AG426"/>
      <c r="AH426"/>
      <c r="AI426"/>
      <c r="AJ426"/>
      <c r="AK426"/>
      <c r="AL426"/>
      <c r="AM426"/>
      <c r="AN426"/>
      <c r="AO426"/>
      <c r="AP426"/>
      <c r="AQ426"/>
      <c r="AS426" s="55"/>
      <c r="AT426"/>
      <c r="AU426" s="41"/>
      <c r="AV426" s="16"/>
      <c r="AW426" s="16"/>
      <c r="AX426" s="16"/>
      <c r="AY426" s="16"/>
      <c r="AZ426" s="16"/>
      <c r="BA426" s="16"/>
      <c r="BB426" s="16"/>
      <c r="BC426" s="16"/>
      <c r="BD426" s="16"/>
      <c r="BE426" s="16"/>
      <c r="BF426" s="16"/>
      <c r="BG426" s="16"/>
      <c r="BH426" s="16"/>
      <c r="BI426"/>
      <c r="BJ426"/>
      <c r="BK426"/>
      <c r="BL426"/>
      <c r="BM426"/>
      <c r="BN426"/>
      <c r="BO426"/>
      <c r="BP426"/>
      <c r="BQ426" s="55"/>
      <c r="BR426"/>
      <c r="BS426"/>
      <c r="BT426"/>
      <c r="BU426"/>
      <c r="BV426"/>
      <c r="BW426"/>
      <c r="BX426"/>
      <c r="BY426"/>
      <c r="BZ426"/>
      <c r="CA426"/>
      <c r="CB426"/>
      <c r="CC426"/>
      <c r="CD426"/>
      <c r="CE426"/>
      <c r="CF426"/>
      <c r="CH426" s="55"/>
      <c r="CI426"/>
      <c r="CJ426" s="16"/>
      <c r="CK426" s="16"/>
      <c r="CL426" s="28"/>
      <c r="CM426" s="28"/>
      <c r="CN426" s="28"/>
      <c r="CO426" s="28"/>
      <c r="CP426" s="28"/>
      <c r="CQ426" s="28"/>
      <c r="CR426" s="28"/>
      <c r="CS426" s="28"/>
      <c r="CT426" s="28"/>
      <c r="CU426" s="28"/>
      <c r="CV426" s="28"/>
      <c r="CW426" s="28"/>
      <c r="CX426" s="28"/>
      <c r="CY426" s="28"/>
      <c r="CZ426" s="28"/>
      <c r="DA426" s="28"/>
      <c r="DB426" s="28"/>
      <c r="DC426" s="28"/>
      <c r="DD426" s="28"/>
      <c r="DF426" s="55"/>
      <c r="DX426" s="28"/>
    </row>
    <row r="427" spans="1:128" s="19" customFormat="1" ht="16" customHeight="1">
      <c r="A427" s="18"/>
      <c r="B427" s="17"/>
      <c r="C427" s="16"/>
      <c r="D427" s="16"/>
      <c r="E427" s="16"/>
      <c r="F427" s="16"/>
      <c r="G427" s="16"/>
      <c r="H427" s="20"/>
      <c r="I427" s="20"/>
      <c r="J427" s="20"/>
      <c r="K427" s="20"/>
      <c r="L427" s="20"/>
      <c r="M427" s="20"/>
      <c r="N427" s="20"/>
      <c r="O427" s="20"/>
      <c r="P427" s="20"/>
      <c r="Q427" s="20"/>
      <c r="R427" s="20"/>
      <c r="S427" s="20"/>
      <c r="T427"/>
      <c r="U427"/>
      <c r="V427"/>
      <c r="W427"/>
      <c r="X427"/>
      <c r="Y427"/>
      <c r="Z427" s="16"/>
      <c r="AA427" s="16"/>
      <c r="AB427" s="55"/>
      <c r="AC427"/>
      <c r="AD427"/>
      <c r="AE427"/>
      <c r="AF427"/>
      <c r="AG427"/>
      <c r="AH427"/>
      <c r="AI427"/>
      <c r="AJ427"/>
      <c r="AK427"/>
      <c r="AL427"/>
      <c r="AM427"/>
      <c r="AN427"/>
      <c r="AO427"/>
      <c r="AP427"/>
      <c r="AQ427"/>
      <c r="AS427" s="55"/>
      <c r="AT427"/>
      <c r="AU427" s="41"/>
      <c r="AV427" s="16"/>
      <c r="AW427" s="16"/>
      <c r="AX427" s="16"/>
      <c r="AY427" s="16"/>
      <c r="AZ427" s="16"/>
      <c r="BA427" s="16"/>
      <c r="BB427" s="16"/>
      <c r="BC427" s="16"/>
      <c r="BD427" s="16"/>
      <c r="BE427" s="16"/>
      <c r="BF427" s="16"/>
      <c r="BG427" s="16"/>
      <c r="BH427" s="16"/>
      <c r="BI427"/>
      <c r="BJ427"/>
      <c r="BK427"/>
      <c r="BL427"/>
      <c r="BM427"/>
      <c r="BN427"/>
      <c r="BO427"/>
      <c r="BP427"/>
      <c r="BQ427" s="55"/>
      <c r="BR427"/>
      <c r="BS427"/>
      <c r="BT427"/>
      <c r="BU427"/>
      <c r="BV427"/>
      <c r="BW427"/>
      <c r="BX427"/>
      <c r="BY427"/>
      <c r="BZ427"/>
      <c r="CA427"/>
      <c r="CB427"/>
      <c r="CC427"/>
      <c r="CD427"/>
      <c r="CE427"/>
      <c r="CF427"/>
      <c r="CH427" s="55"/>
      <c r="CI427"/>
      <c r="CJ427" s="16"/>
      <c r="CK427" s="16"/>
      <c r="CL427" s="28"/>
      <c r="CM427" s="28"/>
      <c r="CN427" s="28"/>
      <c r="CO427" s="28"/>
      <c r="CP427" s="28"/>
      <c r="CQ427" s="28"/>
      <c r="CR427" s="28"/>
      <c r="CS427" s="28"/>
      <c r="CT427" s="28"/>
      <c r="CU427" s="28"/>
      <c r="CV427" s="28"/>
      <c r="CW427" s="28"/>
      <c r="CX427" s="28"/>
      <c r="CY427" s="28"/>
      <c r="CZ427" s="28"/>
      <c r="DA427" s="28"/>
      <c r="DB427" s="28"/>
      <c r="DC427" s="28"/>
      <c r="DD427" s="28"/>
      <c r="DF427" s="55"/>
      <c r="DX427" s="28"/>
    </row>
    <row r="428" spans="1:128" s="19" customFormat="1" ht="16" customHeight="1">
      <c r="A428" s="18"/>
      <c r="B428" s="17"/>
      <c r="C428" s="16"/>
      <c r="D428" s="16"/>
      <c r="E428" s="16"/>
      <c r="F428" s="16"/>
      <c r="G428" s="16"/>
      <c r="H428" s="20"/>
      <c r="I428" s="20"/>
      <c r="J428" s="20"/>
      <c r="K428" s="20"/>
      <c r="L428" s="20"/>
      <c r="M428" s="20"/>
      <c r="N428" s="20"/>
      <c r="O428" s="20"/>
      <c r="P428" s="20"/>
      <c r="Q428" s="20"/>
      <c r="R428" s="20"/>
      <c r="S428" s="20"/>
      <c r="T428"/>
      <c r="U428"/>
      <c r="V428"/>
      <c r="W428"/>
      <c r="X428"/>
      <c r="Y428"/>
      <c r="Z428" s="16"/>
      <c r="AA428" s="16"/>
      <c r="AB428" s="55"/>
      <c r="AC428"/>
      <c r="AD428"/>
      <c r="AE428"/>
      <c r="AF428"/>
      <c r="AG428"/>
      <c r="AH428"/>
      <c r="AI428"/>
      <c r="AJ428"/>
      <c r="AK428"/>
      <c r="AL428"/>
      <c r="AM428"/>
      <c r="AN428"/>
      <c r="AO428"/>
      <c r="AP428"/>
      <c r="AQ428"/>
      <c r="AS428" s="55"/>
      <c r="AT428"/>
      <c r="AU428" s="41"/>
      <c r="AV428" s="16"/>
      <c r="AW428" s="16"/>
      <c r="AX428" s="16"/>
      <c r="AY428" s="16"/>
      <c r="AZ428" s="16"/>
      <c r="BA428" s="16"/>
      <c r="BB428" s="16"/>
      <c r="BC428" s="16"/>
      <c r="BD428" s="16"/>
      <c r="BE428" s="16"/>
      <c r="BF428" s="16"/>
      <c r="BG428" s="16"/>
      <c r="BH428" s="16"/>
      <c r="BI428"/>
      <c r="BJ428"/>
      <c r="BK428"/>
      <c r="BL428"/>
      <c r="BM428"/>
      <c r="BN428"/>
      <c r="BO428"/>
      <c r="BP428"/>
      <c r="BQ428" s="55"/>
      <c r="BR428"/>
      <c r="BS428"/>
      <c r="BT428"/>
      <c r="BU428"/>
      <c r="BV428"/>
      <c r="BW428"/>
      <c r="BX428"/>
      <c r="BY428"/>
      <c r="BZ428"/>
      <c r="CA428"/>
      <c r="CB428"/>
      <c r="CC428"/>
      <c r="CD428"/>
      <c r="CE428"/>
      <c r="CF428"/>
      <c r="CH428" s="55"/>
      <c r="CI428"/>
      <c r="CJ428" s="16"/>
      <c r="CK428" s="16"/>
      <c r="CL428" s="28"/>
      <c r="CM428" s="28"/>
      <c r="CN428" s="28"/>
      <c r="CO428" s="28"/>
      <c r="CP428" s="28"/>
      <c r="CQ428" s="28"/>
      <c r="CR428" s="28"/>
      <c r="CS428" s="28"/>
      <c r="CT428" s="28"/>
      <c r="CU428" s="28"/>
      <c r="CV428" s="28"/>
      <c r="CW428" s="28"/>
      <c r="CX428" s="28"/>
      <c r="CY428" s="28"/>
      <c r="CZ428" s="28"/>
      <c r="DA428" s="28"/>
      <c r="DB428" s="28"/>
      <c r="DC428" s="28"/>
      <c r="DD428" s="28"/>
      <c r="DF428" s="55"/>
      <c r="DX428" s="28"/>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zoomScale="125" zoomScaleNormal="125" workbookViewId="0">
      <selection activeCell="B4" sqref="B4"/>
    </sheetView>
  </sheetViews>
  <sheetFormatPr baseColWidth="10" defaultRowHeight="16"/>
  <sheetData>
    <row r="1" spans="1:4">
      <c r="A1" s="32" t="s">
        <v>71</v>
      </c>
    </row>
    <row r="2" spans="1:4">
      <c r="A2" s="32"/>
    </row>
    <row r="3" spans="1:4">
      <c r="B3" s="33" t="s">
        <v>73</v>
      </c>
    </row>
    <row r="4" spans="1:4">
      <c r="A4" s="30" t="s">
        <v>4</v>
      </c>
      <c r="B4" s="4">
        <v>31.03</v>
      </c>
      <c r="C4" s="27" t="s">
        <v>70</v>
      </c>
      <c r="D4" s="29">
        <f>B4*(159.69/71.844)/2</f>
        <v>34.485696091531658</v>
      </c>
    </row>
    <row r="5" spans="1:4">
      <c r="A5" s="30" t="s">
        <v>70</v>
      </c>
      <c r="B5" s="4">
        <v>68.97</v>
      </c>
      <c r="C5" s="27" t="s">
        <v>4</v>
      </c>
      <c r="D5" s="29">
        <f>B5*1/((159.69/71.844)/2)</f>
        <v>62.058747322938189</v>
      </c>
    </row>
    <row r="6" spans="1:4">
      <c r="A6" s="5" t="s">
        <v>72</v>
      </c>
      <c r="B6" s="4">
        <f>B4+B5</f>
        <v>100</v>
      </c>
    </row>
    <row r="7" spans="1:4">
      <c r="A7" s="31"/>
    </row>
    <row r="8" spans="1:4">
      <c r="A8" s="5" t="s">
        <v>46</v>
      </c>
      <c r="B8" s="56">
        <f>B4+D5</f>
        <v>93.08874732293819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5"/>
  <sheetViews>
    <sheetView topLeftCell="G1" zoomScale="125" zoomScaleNormal="125" workbookViewId="0">
      <selection activeCell="M10" sqref="M10"/>
    </sheetView>
  </sheetViews>
  <sheetFormatPr baseColWidth="10" defaultRowHeight="16"/>
  <cols>
    <col min="10" max="10" width="11.6640625" bestFit="1" customWidth="1"/>
    <col min="11" max="11" width="10.5" bestFit="1" customWidth="1"/>
    <col min="12" max="12" width="12.83203125" bestFit="1" customWidth="1"/>
    <col min="13" max="13" width="13.6640625" bestFit="1" customWidth="1"/>
  </cols>
  <sheetData>
    <row r="1" spans="1:14">
      <c r="B1" s="4" t="s">
        <v>157</v>
      </c>
      <c r="C1" s="61" t="s">
        <v>158</v>
      </c>
      <c r="D1" s="4" t="s">
        <v>313</v>
      </c>
      <c r="E1" s="61" t="s">
        <v>314</v>
      </c>
      <c r="F1" s="4" t="s">
        <v>272</v>
      </c>
      <c r="G1" s="4" t="s">
        <v>159</v>
      </c>
      <c r="H1" s="4" t="s">
        <v>273</v>
      </c>
      <c r="I1" s="4" t="s">
        <v>162</v>
      </c>
      <c r="J1" s="61" t="s">
        <v>160</v>
      </c>
      <c r="K1" s="4" t="s">
        <v>161</v>
      </c>
      <c r="L1" s="4" t="s">
        <v>326</v>
      </c>
      <c r="M1" s="4" t="s">
        <v>325</v>
      </c>
      <c r="N1" s="4" t="s">
        <v>327</v>
      </c>
    </row>
    <row r="2" spans="1:14">
      <c r="A2" s="5" t="s">
        <v>170</v>
      </c>
      <c r="B2" s="4">
        <v>2500</v>
      </c>
      <c r="C2" s="9">
        <f t="shared" ref="C2:C22" si="0">B2*1.4615/10000</f>
        <v>0.36537500000000001</v>
      </c>
      <c r="D2" s="9">
        <v>798</v>
      </c>
      <c r="E2" s="9">
        <f>D2*79.866/47.867/10000</f>
        <v>0.13314615079282177</v>
      </c>
      <c r="F2" s="4">
        <v>2043</v>
      </c>
      <c r="G2" s="9">
        <f t="shared" ref="G2:G22" si="1">F2*1.2725/10000</f>
        <v>0.25997175</v>
      </c>
      <c r="H2" s="4"/>
      <c r="I2" s="9">
        <f>H2*1.2448/10000</f>
        <v>0</v>
      </c>
      <c r="J2" s="4"/>
      <c r="K2" s="9">
        <f>J2*1/((159.69/71.844)/2)</f>
        <v>0</v>
      </c>
      <c r="L2" s="9"/>
      <c r="M2" s="9"/>
      <c r="N2" s="9" t="s">
        <v>470</v>
      </c>
    </row>
    <row r="3" spans="1:14">
      <c r="D3" s="9"/>
      <c r="E3" s="9">
        <f t="shared" ref="E3:E24" si="2">D3*79.866/47.867/10000</f>
        <v>0</v>
      </c>
      <c r="L3" s="9"/>
      <c r="M3" s="9"/>
      <c r="N3" s="9" t="s">
        <v>470</v>
      </c>
    </row>
    <row r="4" spans="1:14">
      <c r="B4" s="9">
        <v>2197.2176668816714</v>
      </c>
      <c r="C4" s="9">
        <f t="shared" si="0"/>
        <v>0.32112336201475628</v>
      </c>
      <c r="D4" s="9"/>
      <c r="E4" s="9">
        <f t="shared" si="2"/>
        <v>0</v>
      </c>
      <c r="F4" s="9">
        <v>2296.1028082498228</v>
      </c>
      <c r="G4" s="9">
        <f t="shared" si="1"/>
        <v>0.29217908234978995</v>
      </c>
      <c r="H4" s="9">
        <v>35.430197866852275</v>
      </c>
      <c r="I4" s="9">
        <f>H4*1.2448/10000</f>
        <v>4.4103510304657713E-3</v>
      </c>
      <c r="J4" s="9">
        <v>31.42</v>
      </c>
      <c r="K4" s="9">
        <f>J4*1/((159.69/71.844)/2)</f>
        <v>28.271507044899494</v>
      </c>
      <c r="L4" s="9"/>
      <c r="M4" s="9"/>
      <c r="N4" s="9" t="s">
        <v>470</v>
      </c>
    </row>
    <row r="5" spans="1:14">
      <c r="B5" s="9">
        <v>353.61107076171271</v>
      </c>
      <c r="C5" s="9">
        <f t="shared" si="0"/>
        <v>5.1680257991824317E-2</v>
      </c>
      <c r="D5" s="9"/>
      <c r="E5" s="9">
        <f t="shared" si="2"/>
        <v>0</v>
      </c>
      <c r="F5" s="9">
        <v>1364.1655359838255</v>
      </c>
      <c r="G5" s="9">
        <f t="shared" si="1"/>
        <v>0.17359006445394179</v>
      </c>
      <c r="H5" s="9">
        <v>21.371505731928572</v>
      </c>
      <c r="I5" s="9">
        <f t="shared" ref="I5:I22" si="3">H5*1.2448/10000</f>
        <v>2.6603250335104681E-3</v>
      </c>
      <c r="J5" s="9">
        <v>3.1105340454629862</v>
      </c>
      <c r="K5" s="9">
        <f t="shared" ref="K5:K22" si="4">J5*1/((159.69/71.844)/2)</f>
        <v>2.7988378478582598</v>
      </c>
      <c r="L5" s="9"/>
      <c r="M5" s="9"/>
      <c r="N5" s="9" t="s">
        <v>470</v>
      </c>
    </row>
    <row r="6" spans="1:14">
      <c r="B6" s="9">
        <v>3021.1900915367473</v>
      </c>
      <c r="C6" s="9">
        <f t="shared" si="0"/>
        <v>0.44154693187809563</v>
      </c>
      <c r="D6" s="9"/>
      <c r="E6" s="9">
        <f t="shared" si="2"/>
        <v>0</v>
      </c>
      <c r="F6" s="9">
        <v>2195.8789008647291</v>
      </c>
      <c r="G6" s="9">
        <f t="shared" si="1"/>
        <v>0.27942559013503676</v>
      </c>
      <c r="H6" s="9">
        <v>45.35817142032667</v>
      </c>
      <c r="I6" s="9">
        <f t="shared" si="3"/>
        <v>5.6461851784022632E-3</v>
      </c>
      <c r="J6" s="9">
        <v>7.319029126213592</v>
      </c>
      <c r="K6" s="9">
        <f t="shared" si="4"/>
        <v>6.5856137334045872</v>
      </c>
      <c r="L6" s="9"/>
      <c r="M6" s="9"/>
      <c r="N6" s="9" t="s">
        <v>470</v>
      </c>
    </row>
    <row r="7" spans="1:14">
      <c r="B7" s="9">
        <v>2507.2407515554182</v>
      </c>
      <c r="C7" s="9">
        <f t="shared" si="0"/>
        <v>0.3664332358398244</v>
      </c>
      <c r="D7" s="9"/>
      <c r="E7" s="9">
        <f t="shared" si="2"/>
        <v>0</v>
      </c>
      <c r="F7" s="9">
        <v>2248.6087128502518</v>
      </c>
      <c r="G7" s="9">
        <f t="shared" si="1"/>
        <v>0.28613545871019458</v>
      </c>
      <c r="H7" s="9">
        <v>42.152676868371515</v>
      </c>
      <c r="I7" s="9">
        <f t="shared" si="3"/>
        <v>5.2471652165748854E-3</v>
      </c>
      <c r="J7" s="9">
        <v>12.2194</v>
      </c>
      <c r="K7" s="9">
        <f t="shared" si="4"/>
        <v>10.994934856284051</v>
      </c>
      <c r="L7" s="9"/>
      <c r="M7" s="9"/>
      <c r="N7" s="9" t="s">
        <v>470</v>
      </c>
    </row>
    <row r="8" spans="1:14">
      <c r="B8" s="9">
        <v>4824.6528318922155</v>
      </c>
      <c r="C8" s="9">
        <f t="shared" si="0"/>
        <v>0.70512301138104727</v>
      </c>
      <c r="D8" s="9"/>
      <c r="E8" s="9">
        <f t="shared" si="2"/>
        <v>0</v>
      </c>
      <c r="F8" s="9">
        <v>2221.0544645427422</v>
      </c>
      <c r="G8" s="9">
        <f t="shared" si="1"/>
        <v>0.28262918061306391</v>
      </c>
      <c r="H8" s="9">
        <v>53.045781191918962</v>
      </c>
      <c r="I8" s="9">
        <f t="shared" si="3"/>
        <v>6.6031388427700722E-3</v>
      </c>
      <c r="J8" s="9">
        <v>10.805933852140077</v>
      </c>
      <c r="K8" s="9">
        <f t="shared" si="4"/>
        <v>9.7231074165339297</v>
      </c>
      <c r="L8" s="9"/>
      <c r="M8" s="9"/>
      <c r="N8" s="9" t="s">
        <v>470</v>
      </c>
    </row>
    <row r="9" spans="1:14">
      <c r="B9" s="9">
        <v>2891.6999376406893</v>
      </c>
      <c r="C9" s="9">
        <f t="shared" si="0"/>
        <v>0.42262194588618679</v>
      </c>
      <c r="D9" s="9"/>
      <c r="E9" s="9">
        <f t="shared" si="2"/>
        <v>0</v>
      </c>
      <c r="F9" s="9">
        <v>2348.8453088982824</v>
      </c>
      <c r="G9" s="9">
        <f t="shared" si="1"/>
        <v>0.29889056555730642</v>
      </c>
      <c r="H9" s="9">
        <v>21.355723089958161</v>
      </c>
      <c r="I9" s="9">
        <f t="shared" si="3"/>
        <v>2.6583604102379914E-3</v>
      </c>
      <c r="J9" s="9">
        <v>3.8254807692307691</v>
      </c>
      <c r="K9" s="9">
        <f t="shared" si="4"/>
        <v>3.4421421552334568</v>
      </c>
      <c r="L9" s="9"/>
      <c r="M9" s="9"/>
      <c r="N9" s="9" t="s">
        <v>470</v>
      </c>
    </row>
    <row r="10" spans="1:14">
      <c r="B10" s="9">
        <v>3130.6437783305414</v>
      </c>
      <c r="C10" s="9">
        <f t="shared" si="0"/>
        <v>0.45754358820300867</v>
      </c>
      <c r="D10" s="9"/>
      <c r="E10" s="9">
        <f t="shared" si="2"/>
        <v>0</v>
      </c>
      <c r="F10" s="9">
        <v>1285.3119943484985</v>
      </c>
      <c r="G10" s="9">
        <f t="shared" si="1"/>
        <v>0.16355595128084643</v>
      </c>
      <c r="H10" s="9">
        <v>34.951593421737485</v>
      </c>
      <c r="I10" s="9">
        <f t="shared" si="3"/>
        <v>4.3507743491378818E-3</v>
      </c>
      <c r="J10" s="9">
        <v>15.92598288955109</v>
      </c>
      <c r="K10" s="9">
        <f t="shared" si="4"/>
        <v>14.33009349009842</v>
      </c>
      <c r="L10" s="9"/>
      <c r="M10" s="9"/>
      <c r="N10" s="9" t="s">
        <v>470</v>
      </c>
    </row>
    <row r="11" spans="1:14">
      <c r="B11" s="9">
        <v>3399.7503066551672</v>
      </c>
      <c r="C11" s="9">
        <f t="shared" si="0"/>
        <v>0.49687350731765273</v>
      </c>
      <c r="D11" s="9"/>
      <c r="E11" s="9">
        <f t="shared" si="2"/>
        <v>0</v>
      </c>
      <c r="F11" s="9">
        <v>2017.0757914167343</v>
      </c>
      <c r="G11" s="9">
        <f t="shared" si="1"/>
        <v>0.25667289445777941</v>
      </c>
      <c r="H11" s="9">
        <v>38.646831540630188</v>
      </c>
      <c r="I11" s="9">
        <f t="shared" si="3"/>
        <v>4.810757590177646E-3</v>
      </c>
      <c r="J11" s="9">
        <v>15.1409</v>
      </c>
      <c r="K11" s="9">
        <f t="shared" si="4"/>
        <v>13.623681127183918</v>
      </c>
      <c r="L11" s="9"/>
      <c r="M11" s="9"/>
      <c r="N11" s="9" t="s">
        <v>470</v>
      </c>
    </row>
    <row r="12" spans="1:14">
      <c r="B12" s="9">
        <v>4495.2629316964467</v>
      </c>
      <c r="C12" s="9">
        <f t="shared" si="0"/>
        <v>0.65698267746743566</v>
      </c>
      <c r="D12" s="9"/>
      <c r="E12" s="9">
        <f t="shared" si="2"/>
        <v>0</v>
      </c>
      <c r="F12" s="9">
        <v>1835.7766162366138</v>
      </c>
      <c r="G12" s="9">
        <f t="shared" si="1"/>
        <v>0.2336025744161091</v>
      </c>
      <c r="H12" s="9">
        <v>47.290648583202369</v>
      </c>
      <c r="I12" s="9">
        <f t="shared" si="3"/>
        <v>5.8867399356370307E-3</v>
      </c>
      <c r="J12" s="9">
        <v>6.9485609372311492</v>
      </c>
      <c r="K12" s="9">
        <f t="shared" si="4"/>
        <v>6.2522689207143172</v>
      </c>
      <c r="L12" s="9"/>
      <c r="M12" s="9"/>
      <c r="N12" s="9" t="s">
        <v>470</v>
      </c>
    </row>
    <row r="13" spans="1:14">
      <c r="B13" s="9">
        <v>2950.8699325733651</v>
      </c>
      <c r="C13" s="9">
        <f t="shared" si="0"/>
        <v>0.43126964064559736</v>
      </c>
      <c r="D13" s="9"/>
      <c r="E13" s="9">
        <f t="shared" si="2"/>
        <v>0</v>
      </c>
      <c r="F13" s="9">
        <v>1613.4510628362759</v>
      </c>
      <c r="G13" s="9">
        <f t="shared" si="1"/>
        <v>0.20531164774591612</v>
      </c>
      <c r="H13" s="9">
        <v>33.499613038312326</v>
      </c>
      <c r="I13" s="9">
        <f t="shared" si="3"/>
        <v>4.1700318310091177E-3</v>
      </c>
      <c r="J13" s="9">
        <v>6.1295632816100953</v>
      </c>
      <c r="K13" s="9">
        <f t="shared" si="4"/>
        <v>5.5153402768363158</v>
      </c>
      <c r="L13" s="9"/>
      <c r="M13" s="9"/>
      <c r="N13" s="9" t="s">
        <v>470</v>
      </c>
    </row>
    <row r="14" spans="1:14">
      <c r="B14" s="9">
        <v>6584.3499544827673</v>
      </c>
      <c r="C14" s="9">
        <f t="shared" si="0"/>
        <v>0.96230274584765652</v>
      </c>
      <c r="D14" s="9"/>
      <c r="E14" s="9">
        <f t="shared" si="2"/>
        <v>0</v>
      </c>
      <c r="F14" s="9">
        <v>1340.3830982230784</v>
      </c>
      <c r="G14" s="9">
        <f t="shared" si="1"/>
        <v>0.1705637492488867</v>
      </c>
      <c r="H14" s="9">
        <v>30.894161283038446</v>
      </c>
      <c r="I14" s="9">
        <f t="shared" si="3"/>
        <v>3.8457051965126252E-3</v>
      </c>
      <c r="J14" s="9">
        <v>4.758174451537788</v>
      </c>
      <c r="K14" s="9">
        <f t="shared" si="4"/>
        <v>4.2813737278011246</v>
      </c>
      <c r="L14" s="9"/>
      <c r="M14" s="9"/>
      <c r="N14" s="9" t="s">
        <v>470</v>
      </c>
    </row>
    <row r="15" spans="1:14">
      <c r="B15" s="9">
        <v>4806.2791850855419</v>
      </c>
      <c r="C15" s="9">
        <f t="shared" si="0"/>
        <v>0.70243770290025198</v>
      </c>
      <c r="D15" s="9"/>
      <c r="E15" s="9">
        <f t="shared" si="2"/>
        <v>0</v>
      </c>
      <c r="F15" s="9">
        <v>1972.5521253229651</v>
      </c>
      <c r="G15" s="9">
        <f t="shared" si="1"/>
        <v>0.2510072579473473</v>
      </c>
      <c r="H15" s="9">
        <v>40.814142748041313</v>
      </c>
      <c r="I15" s="9">
        <f t="shared" si="3"/>
        <v>5.0805444892761823E-3</v>
      </c>
      <c r="J15" s="9">
        <v>6.1268477820754326</v>
      </c>
      <c r="K15" s="9">
        <f t="shared" si="4"/>
        <v>5.5128968884141445</v>
      </c>
      <c r="L15" s="9"/>
      <c r="M15" s="9"/>
      <c r="N15" s="9" t="s">
        <v>470</v>
      </c>
    </row>
    <row r="16" spans="1:14">
      <c r="B16" s="9">
        <v>4898.2188581712007</v>
      </c>
      <c r="C16" s="9">
        <f t="shared" si="0"/>
        <v>0.715874686121721</v>
      </c>
      <c r="D16" s="9"/>
      <c r="E16" s="9">
        <f t="shared" si="2"/>
        <v>0</v>
      </c>
      <c r="F16" s="9">
        <v>1883.3818035339123</v>
      </c>
      <c r="G16" s="9">
        <f t="shared" si="1"/>
        <v>0.23966033449969032</v>
      </c>
      <c r="H16" s="9">
        <v>50.516596490333363</v>
      </c>
      <c r="I16" s="9">
        <f t="shared" si="3"/>
        <v>6.2883059311166969E-3</v>
      </c>
      <c r="J16" s="9">
        <v>7.4661668951961966</v>
      </c>
      <c r="K16" s="9">
        <f t="shared" si="4"/>
        <v>6.7180073194123056</v>
      </c>
      <c r="L16" s="9"/>
      <c r="M16" s="9"/>
      <c r="N16" s="9" t="s">
        <v>470</v>
      </c>
    </row>
    <row r="17" spans="1:14">
      <c r="B17" s="9">
        <v>5345.8843185770811</v>
      </c>
      <c r="C17" s="9">
        <f t="shared" si="0"/>
        <v>0.78130099316004042</v>
      </c>
      <c r="D17" s="9"/>
      <c r="E17" s="9">
        <f t="shared" si="2"/>
        <v>0</v>
      </c>
      <c r="F17" s="9">
        <v>1811.0615330682524</v>
      </c>
      <c r="G17" s="9">
        <f t="shared" si="1"/>
        <v>0.2304575800829351</v>
      </c>
      <c r="H17" s="9">
        <v>36.579294412157658</v>
      </c>
      <c r="I17" s="9">
        <f t="shared" si="3"/>
        <v>4.5533905684253849E-3</v>
      </c>
      <c r="J17" s="9">
        <v>7.1305238770958344</v>
      </c>
      <c r="K17" s="9">
        <f t="shared" si="4"/>
        <v>6.4159979638809332</v>
      </c>
      <c r="L17" s="9"/>
      <c r="M17" s="9"/>
      <c r="N17" s="9" t="s">
        <v>470</v>
      </c>
    </row>
    <row r="18" spans="1:14">
      <c r="B18" s="9">
        <v>4999.8000920280356</v>
      </c>
      <c r="C18" s="9">
        <f t="shared" si="0"/>
        <v>0.73072078344989744</v>
      </c>
      <c r="D18" s="9"/>
      <c r="E18" s="9">
        <f t="shared" si="2"/>
        <v>0</v>
      </c>
      <c r="F18" s="9">
        <v>1628.0304872993941</v>
      </c>
      <c r="G18" s="9">
        <f t="shared" si="1"/>
        <v>0.20716687950884788</v>
      </c>
      <c r="H18" s="9">
        <v>20.305028609983363</v>
      </c>
      <c r="I18" s="9">
        <f t="shared" si="3"/>
        <v>2.527569961370729E-3</v>
      </c>
      <c r="J18" s="9">
        <v>5.1259519780162499</v>
      </c>
      <c r="K18" s="9">
        <f t="shared" si="4"/>
        <v>4.6122975002642548</v>
      </c>
      <c r="L18" s="9"/>
      <c r="M18" s="9"/>
      <c r="N18" s="9" t="s">
        <v>470</v>
      </c>
    </row>
    <row r="19" spans="1:14">
      <c r="B19" s="9">
        <v>2972.0154714108107</v>
      </c>
      <c r="C19" s="9">
        <f t="shared" si="0"/>
        <v>0.43436006114669001</v>
      </c>
      <c r="D19" s="9"/>
      <c r="E19" s="9">
        <f t="shared" si="2"/>
        <v>0</v>
      </c>
      <c r="F19" s="9">
        <v>1830.2956202938274</v>
      </c>
      <c r="G19" s="9">
        <f t="shared" si="1"/>
        <v>0.23290511768238953</v>
      </c>
      <c r="H19" s="9">
        <v>37.17165340806261</v>
      </c>
      <c r="I19" s="9">
        <f t="shared" si="3"/>
        <v>4.6271274162356336E-3</v>
      </c>
      <c r="J19" s="9">
        <v>8.1726326568984842</v>
      </c>
      <c r="K19" s="9">
        <f t="shared" si="4"/>
        <v>7.3536805135226331</v>
      </c>
      <c r="L19" s="9"/>
      <c r="M19" s="9"/>
      <c r="N19" s="9" t="s">
        <v>470</v>
      </c>
    </row>
    <row r="20" spans="1:14">
      <c r="B20" s="9">
        <v>5791.8436031823931</v>
      </c>
      <c r="C20" s="9">
        <f t="shared" si="0"/>
        <v>0.84647794260510678</v>
      </c>
      <c r="D20" s="9"/>
      <c r="E20" s="9">
        <f t="shared" si="2"/>
        <v>0</v>
      </c>
      <c r="F20" s="9">
        <v>1799.362480811131</v>
      </c>
      <c r="G20" s="9">
        <f t="shared" si="1"/>
        <v>0.22896887568321639</v>
      </c>
      <c r="H20" s="9">
        <v>50.39712425485741</v>
      </c>
      <c r="I20" s="9">
        <f t="shared" si="3"/>
        <v>6.2734340272446506E-3</v>
      </c>
      <c r="J20" s="9">
        <v>8.3069493346311543</v>
      </c>
      <c r="K20" s="9">
        <f t="shared" si="4"/>
        <v>7.4745377668888544</v>
      </c>
      <c r="L20" s="9"/>
      <c r="M20" s="9"/>
      <c r="N20" s="9" t="s">
        <v>470</v>
      </c>
    </row>
    <row r="21" spans="1:14">
      <c r="B21" s="9">
        <v>996.21978162101971</v>
      </c>
      <c r="C21" s="9">
        <f t="shared" si="0"/>
        <v>0.14559752108391202</v>
      </c>
      <c r="D21" s="9"/>
      <c r="E21" s="9">
        <f t="shared" si="2"/>
        <v>0</v>
      </c>
      <c r="F21" s="9">
        <v>1231.5528748356494</v>
      </c>
      <c r="G21" s="9">
        <f t="shared" si="1"/>
        <v>0.15671510332283636</v>
      </c>
      <c r="H21" s="9">
        <v>41.272403745938526</v>
      </c>
      <c r="I21" s="9">
        <f t="shared" si="3"/>
        <v>5.1375888182944272E-3</v>
      </c>
      <c r="J21" s="9">
        <v>7.9097637772823788</v>
      </c>
      <c r="K21" s="9">
        <f t="shared" si="4"/>
        <v>7.1171528438233471</v>
      </c>
      <c r="L21" s="9"/>
      <c r="M21" s="9"/>
      <c r="N21" s="9" t="s">
        <v>470</v>
      </c>
    </row>
    <row r="22" spans="1:14">
      <c r="B22" s="9">
        <v>1703.8965118064871</v>
      </c>
      <c r="C22" s="9">
        <f t="shared" si="0"/>
        <v>0.2490244752005181</v>
      </c>
      <c r="D22" s="9"/>
      <c r="E22" s="9">
        <f t="shared" si="2"/>
        <v>0</v>
      </c>
      <c r="F22" s="9">
        <v>2201.6061334944516</v>
      </c>
      <c r="G22" s="9">
        <f t="shared" si="1"/>
        <v>0.28015438048716895</v>
      </c>
      <c r="H22" s="9">
        <v>32.47701941512684</v>
      </c>
      <c r="I22" s="9">
        <f t="shared" si="3"/>
        <v>4.0427393767949885E-3</v>
      </c>
      <c r="J22" s="9">
        <v>7.442152742510924</v>
      </c>
      <c r="K22" s="9">
        <f t="shared" si="4"/>
        <v>6.6963995445294611</v>
      </c>
      <c r="L22" s="9"/>
      <c r="M22" s="9"/>
      <c r="N22" s="9" t="s">
        <v>470</v>
      </c>
    </row>
    <row r="23" spans="1:14">
      <c r="D23" s="9"/>
      <c r="E23" s="9">
        <f t="shared" si="2"/>
        <v>0</v>
      </c>
      <c r="L23" s="9"/>
      <c r="M23" s="9"/>
      <c r="N23" s="9" t="s">
        <v>470</v>
      </c>
    </row>
    <row r="24" spans="1:14">
      <c r="A24" s="9" t="s">
        <v>307</v>
      </c>
      <c r="B24" s="9">
        <v>342</v>
      </c>
      <c r="C24" s="9">
        <f t="shared" ref="C24" si="5">B24*1.4615/10000</f>
        <v>4.9983300000000001E-2</v>
      </c>
      <c r="D24" s="9"/>
      <c r="E24" s="9">
        <f t="shared" si="2"/>
        <v>0</v>
      </c>
      <c r="F24" s="9">
        <v>89</v>
      </c>
      <c r="G24" s="9">
        <f t="shared" ref="G24" si="6">F24*1.2725/10000</f>
        <v>1.132525E-2</v>
      </c>
      <c r="H24" s="9">
        <v>20</v>
      </c>
      <c r="I24" s="9">
        <f t="shared" ref="I24" si="7">H24*1.2448/10000</f>
        <v>2.4895999999999998E-3</v>
      </c>
      <c r="J24" s="9">
        <v>7.49</v>
      </c>
      <c r="K24" s="9">
        <f t="shared" ref="K24" si="8">J24*1/((159.69/71.844)/2)</f>
        <v>6.7394521886154424</v>
      </c>
      <c r="L24" s="9"/>
      <c r="M24" s="9"/>
      <c r="N24" s="9" t="s">
        <v>470</v>
      </c>
    </row>
    <row r="25" spans="1:14">
      <c r="J25" s="9">
        <f>8.63</f>
        <v>8.6300000000000008</v>
      </c>
      <c r="K25" s="9">
        <f>J25*1/((159.69/71.844)/2)</f>
        <v>7.7652166071764048</v>
      </c>
      <c r="L25" s="9">
        <f>3.83</f>
        <v>3.83</v>
      </c>
      <c r="M25" s="9">
        <f>(K25-L25)*(159.69/71.844)/2</f>
        <v>4.3734670953733099</v>
      </c>
      <c r="N25" s="9">
        <v>0.50677486620779943</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7316-F573-C14C-89EF-78EDFFB500B7}">
  <dimension ref="A1:DR6"/>
  <sheetViews>
    <sheetView zoomScale="125" zoomScaleNormal="125" zoomScalePageLayoutView="125" workbookViewId="0">
      <pane xSplit="3" ySplit="1" topLeftCell="BI2" activePane="bottomRight" state="frozen"/>
      <selection pane="topRight" activeCell="D1" sqref="D1"/>
      <selection pane="bottomLeft" activeCell="A2" sqref="A2"/>
      <selection pane="bottomRight" activeCell="BO6" sqref="BO6"/>
    </sheetView>
  </sheetViews>
  <sheetFormatPr baseColWidth="10" defaultRowHeight="16" customHeight="1"/>
  <cols>
    <col min="1" max="1" width="6.5" style="39" customWidth="1"/>
    <col min="2" max="2" width="20.5" style="57" customWidth="1"/>
    <col min="3" max="3" width="11.33203125" style="57" bestFit="1" customWidth="1"/>
    <col min="4" max="4" width="30.6640625" style="67" customWidth="1"/>
    <col min="5" max="6" width="11.1640625" style="67" customWidth="1"/>
    <col min="7" max="9" width="2.33203125" style="67" customWidth="1"/>
    <col min="10" max="10" width="5.83203125" style="39" bestFit="1" customWidth="1"/>
    <col min="11" max="11" width="5.1640625" style="39" bestFit="1" customWidth="1"/>
    <col min="12" max="12" width="6.1640625" style="39" bestFit="1" customWidth="1"/>
    <col min="13" max="13" width="6.5" style="39" bestFit="1" customWidth="1"/>
    <col min="14" max="14" width="7.5" style="58" bestFit="1" customWidth="1"/>
    <col min="15" max="15" width="5" style="59" bestFit="1" customWidth="1"/>
    <col min="16" max="16" width="7" style="39" bestFit="1" customWidth="1"/>
    <col min="17" max="17" width="5.1640625" style="39" bestFit="1" customWidth="1"/>
    <col min="18" max="18" width="5.83203125" style="39" bestFit="1" customWidth="1"/>
    <col min="19" max="19" width="5" style="39" bestFit="1" customWidth="1"/>
    <col min="20" max="20" width="5" style="39" customWidth="1"/>
    <col min="21" max="21" width="5.6640625" style="39" bestFit="1" customWidth="1"/>
    <col min="22" max="22" width="6" style="39" bestFit="1" customWidth="1"/>
    <col min="23" max="23" width="4.83203125" style="70" bestFit="1" customWidth="1"/>
    <col min="24" max="25" width="4.83203125" style="70" customWidth="1"/>
    <col min="26" max="26" width="4.83203125" style="70" bestFit="1" customWidth="1"/>
    <col min="27" max="27" width="4" style="70" bestFit="1" customWidth="1"/>
    <col min="28" max="28" width="4.83203125" style="70" bestFit="1" customWidth="1"/>
    <col min="29" max="29" width="1" style="70" customWidth="1"/>
    <col min="30" max="30" width="5.33203125" style="72" bestFit="1" customWidth="1"/>
    <col min="31" max="31" width="4.33203125" style="72" bestFit="1" customWidth="1"/>
    <col min="32" max="32" width="9.33203125" style="22" bestFit="1" customWidth="1"/>
    <col min="33" max="33" width="1.33203125" style="22" customWidth="1"/>
    <col min="34" max="34" width="9.6640625" style="40" customWidth="1"/>
    <col min="35" max="36" width="8.1640625" style="67" customWidth="1"/>
    <col min="37" max="39" width="6.5" style="67" customWidth="1"/>
    <col min="40" max="42" width="9.83203125" style="67" customWidth="1"/>
    <col min="43" max="43" width="8.1640625" style="67" customWidth="1"/>
    <col min="44" max="48" width="6" style="67" customWidth="1"/>
    <col min="49" max="49" width="7.33203125" style="67" customWidth="1"/>
    <col min="50" max="54" width="6" style="67" customWidth="1"/>
    <col min="55" max="55" width="7.5" style="44" customWidth="1"/>
    <col min="56" max="56" width="1.1640625" style="67" customWidth="1"/>
    <col min="57" max="57" width="7.33203125" style="74" customWidth="1"/>
    <col min="58" max="58" width="1.1640625" style="67" customWidth="1"/>
    <col min="59" max="59" width="8.5" style="75" customWidth="1"/>
    <col min="60" max="60" width="8.33203125" style="75" customWidth="1"/>
    <col min="61" max="61" width="1.33203125" style="75" customWidth="1"/>
    <col min="62" max="62" width="4.83203125" style="67" customWidth="1"/>
    <col min="63" max="63" width="7.5" style="67" bestFit="1" customWidth="1"/>
    <col min="64" max="64" width="6.1640625" style="67" customWidth="1"/>
    <col min="65" max="65" width="6.5" style="67" customWidth="1"/>
    <col min="66" max="66" width="6.5" style="67" bestFit="1" customWidth="1"/>
    <col min="67" max="67" width="7.83203125" style="67" customWidth="1"/>
    <col min="68" max="68" width="6.5" style="67" bestFit="1" customWidth="1"/>
    <col min="69" max="69" width="5.6640625" style="67" customWidth="1"/>
    <col min="70" max="70" width="6.5" style="67" customWidth="1"/>
    <col min="71" max="71" width="5.6640625" style="67" customWidth="1"/>
    <col min="72" max="72" width="6.5" style="67" bestFit="1" customWidth="1"/>
    <col min="73" max="73" width="6.5" style="67" customWidth="1"/>
    <col min="74" max="74" width="6.5" style="67" bestFit="1" customWidth="1"/>
    <col min="75" max="76" width="5.6640625" style="70" customWidth="1"/>
    <col min="77" max="77" width="6.5" style="70" bestFit="1" customWidth="1"/>
    <col min="78" max="78" width="5.83203125" style="70" customWidth="1"/>
    <col min="79" max="80" width="5.6640625" style="70" customWidth="1"/>
    <col min="81" max="81" width="7.83203125" style="70" bestFit="1" customWidth="1"/>
    <col min="82" max="82" width="6.6640625" style="70" customWidth="1"/>
    <col min="83" max="85" width="8.33203125" style="67" customWidth="1"/>
    <col min="86" max="86" width="13.83203125" style="67" bestFit="1" customWidth="1"/>
    <col min="87" max="104" width="7.5" style="67" customWidth="1"/>
    <col min="105" max="105" width="9.83203125" style="67" customWidth="1"/>
    <col min="106" max="106" width="7.5" style="67" customWidth="1"/>
    <col min="107" max="107" width="13.1640625" style="67" customWidth="1"/>
    <col min="108" max="108" width="4.83203125" style="67" bestFit="1" customWidth="1"/>
    <col min="109" max="109" width="4.83203125" style="67" customWidth="1"/>
    <col min="110" max="110" width="4.6640625" style="67" bestFit="1" customWidth="1"/>
    <col min="111" max="111" width="5" style="67" bestFit="1" customWidth="1"/>
    <col min="112" max="112" width="7.5" style="67" bestFit="1" customWidth="1"/>
    <col min="113" max="113" width="5.6640625" style="67" bestFit="1" customWidth="1"/>
    <col min="114" max="114" width="6.5" style="67" bestFit="1" customWidth="1"/>
    <col min="115" max="116" width="5.6640625" style="67" bestFit="1" customWidth="1"/>
    <col min="117" max="118" width="6.5" style="67" bestFit="1" customWidth="1"/>
    <col min="119" max="120" width="5.6640625" style="67" bestFit="1" customWidth="1"/>
    <col min="121" max="121" width="6.1640625" style="67" bestFit="1" customWidth="1"/>
    <col min="122" max="122" width="7.33203125" style="67" bestFit="1" customWidth="1"/>
    <col min="123" max="16384" width="10.83203125" style="67"/>
  </cols>
  <sheetData>
    <row r="1" spans="1:122" ht="16" customHeight="1">
      <c r="A1" s="4" t="s">
        <v>0</v>
      </c>
      <c r="B1" s="4" t="s">
        <v>174</v>
      </c>
      <c r="C1" s="5" t="s">
        <v>1</v>
      </c>
      <c r="D1" s="14" t="s">
        <v>11</v>
      </c>
      <c r="E1" s="4"/>
      <c r="F1" s="4" t="s">
        <v>173</v>
      </c>
      <c r="G1" s="4" t="s">
        <v>8</v>
      </c>
      <c r="H1" s="4" t="s">
        <v>9</v>
      </c>
      <c r="I1" s="4" t="s">
        <v>10</v>
      </c>
      <c r="J1" s="4" t="s">
        <v>44</v>
      </c>
      <c r="K1" s="4" t="s">
        <v>47</v>
      </c>
      <c r="L1" s="4" t="s">
        <v>45</v>
      </c>
      <c r="M1" s="4" t="s">
        <v>48</v>
      </c>
      <c r="N1" s="58" t="s">
        <v>137</v>
      </c>
      <c r="O1" s="59" t="s">
        <v>4</v>
      </c>
      <c r="P1" s="4" t="s">
        <v>46</v>
      </c>
      <c r="Q1" s="4" t="s">
        <v>3</v>
      </c>
      <c r="R1" s="4" t="s">
        <v>2</v>
      </c>
      <c r="S1" s="39" t="s">
        <v>5</v>
      </c>
      <c r="T1" s="39" t="s">
        <v>112</v>
      </c>
      <c r="U1" s="4" t="s">
        <v>6</v>
      </c>
      <c r="V1" s="4" t="s">
        <v>43</v>
      </c>
      <c r="W1" s="4" t="s">
        <v>64</v>
      </c>
      <c r="X1" s="39" t="s">
        <v>134</v>
      </c>
      <c r="Y1" s="39" t="s">
        <v>300</v>
      </c>
      <c r="Z1" s="39" t="s">
        <v>65</v>
      </c>
      <c r="AA1" s="39" t="s">
        <v>66</v>
      </c>
      <c r="AB1" s="39" t="s">
        <v>136</v>
      </c>
      <c r="AC1" s="4"/>
      <c r="AD1" s="22" t="s">
        <v>68</v>
      </c>
      <c r="AE1" s="22" t="s">
        <v>69</v>
      </c>
      <c r="AF1" s="22" t="s">
        <v>98</v>
      </c>
      <c r="AH1" s="40" t="s">
        <v>175</v>
      </c>
      <c r="AI1" s="39" t="s">
        <v>138</v>
      </c>
      <c r="AJ1" s="39" t="s">
        <v>145</v>
      </c>
      <c r="AK1" s="39" t="s">
        <v>144</v>
      </c>
      <c r="AL1" s="39" t="s">
        <v>29</v>
      </c>
      <c r="AM1" s="39" t="s">
        <v>142</v>
      </c>
      <c r="AN1" s="39" t="s">
        <v>139</v>
      </c>
      <c r="AO1" s="39" t="s">
        <v>143</v>
      </c>
      <c r="AP1" s="39" t="s">
        <v>140</v>
      </c>
      <c r="AQ1" s="39" t="s">
        <v>141</v>
      </c>
      <c r="AR1" s="4" t="s">
        <v>7</v>
      </c>
      <c r="AS1" s="4"/>
      <c r="AT1" s="4" t="s">
        <v>147</v>
      </c>
      <c r="AU1" s="4" t="s">
        <v>148</v>
      </c>
      <c r="AV1" s="4" t="s">
        <v>149</v>
      </c>
      <c r="AW1" s="4" t="s">
        <v>49</v>
      </c>
      <c r="AX1" s="4" t="s">
        <v>50</v>
      </c>
      <c r="AY1" s="4" t="s">
        <v>150</v>
      </c>
      <c r="AZ1" s="4" t="s">
        <v>151</v>
      </c>
      <c r="BA1" s="4" t="s">
        <v>152</v>
      </c>
      <c r="BB1" s="4"/>
      <c r="BC1" s="44" t="s">
        <v>13</v>
      </c>
      <c r="BD1" s="4"/>
      <c r="BE1" s="64" t="s">
        <v>95</v>
      </c>
      <c r="BF1" s="4"/>
      <c r="BG1" s="65" t="s">
        <v>14</v>
      </c>
      <c r="BH1" s="49" t="s">
        <v>97</v>
      </c>
      <c r="BI1" s="65"/>
      <c r="BJ1" s="66"/>
      <c r="BK1" s="4" t="s">
        <v>18</v>
      </c>
      <c r="BL1" s="4" t="s">
        <v>22</v>
      </c>
      <c r="BM1" s="4" t="s">
        <v>19</v>
      </c>
      <c r="BN1" s="4" t="s">
        <v>23</v>
      </c>
      <c r="BO1" s="4" t="s">
        <v>49</v>
      </c>
      <c r="BP1" s="4" t="s">
        <v>50</v>
      </c>
      <c r="BQ1" s="4" t="s">
        <v>20</v>
      </c>
      <c r="BR1" s="4" t="s">
        <v>17</v>
      </c>
      <c r="BS1" s="4" t="s">
        <v>24</v>
      </c>
      <c r="BT1" s="4" t="s">
        <v>109</v>
      </c>
      <c r="BU1" s="4" t="s">
        <v>21</v>
      </c>
      <c r="BV1" s="4" t="s">
        <v>16</v>
      </c>
      <c r="BW1" s="4" t="s">
        <v>67</v>
      </c>
      <c r="BX1" s="4" t="s">
        <v>119</v>
      </c>
      <c r="BY1" s="4" t="s">
        <v>29</v>
      </c>
      <c r="BZ1" s="4" t="s">
        <v>155</v>
      </c>
      <c r="CA1" s="4" t="s">
        <v>65</v>
      </c>
      <c r="CB1" s="4" t="s">
        <v>66</v>
      </c>
      <c r="CC1" s="4" t="s">
        <v>153</v>
      </c>
      <c r="CD1" s="4" t="s">
        <v>154</v>
      </c>
      <c r="CE1" s="66" t="s">
        <v>97</v>
      </c>
      <c r="CF1" s="66" t="s">
        <v>96</v>
      </c>
      <c r="CG1" s="66"/>
      <c r="CH1" s="80" t="s">
        <v>177</v>
      </c>
      <c r="CI1" s="4" t="s">
        <v>44</v>
      </c>
      <c r="CJ1" s="4" t="s">
        <v>47</v>
      </c>
      <c r="CK1" s="4" t="s">
        <v>45</v>
      </c>
      <c r="CL1" s="4" t="s">
        <v>48</v>
      </c>
      <c r="CM1" s="28" t="s">
        <v>4</v>
      </c>
      <c r="CN1" s="4" t="s">
        <v>3</v>
      </c>
      <c r="CO1" s="4" t="s">
        <v>2</v>
      </c>
      <c r="CP1" s="39" t="s">
        <v>5</v>
      </c>
      <c r="CQ1" s="39" t="s">
        <v>112</v>
      </c>
      <c r="CR1" s="4" t="s">
        <v>6</v>
      </c>
      <c r="CS1" s="4" t="s">
        <v>43</v>
      </c>
      <c r="CT1" s="4" t="s">
        <v>64</v>
      </c>
      <c r="CU1" s="39" t="s">
        <v>134</v>
      </c>
      <c r="CV1" s="4" t="s">
        <v>297</v>
      </c>
      <c r="CW1" s="4" t="s">
        <v>155</v>
      </c>
      <c r="CX1" s="4" t="s">
        <v>298</v>
      </c>
      <c r="CY1" s="4" t="s">
        <v>299</v>
      </c>
      <c r="CZ1" s="4" t="s">
        <v>176</v>
      </c>
      <c r="DA1" s="79" t="s">
        <v>178</v>
      </c>
      <c r="DB1" s="79"/>
      <c r="DC1" s="80" t="s">
        <v>279</v>
      </c>
      <c r="DD1" s="67" t="s">
        <v>267</v>
      </c>
      <c r="DE1" s="67" t="s">
        <v>295</v>
      </c>
      <c r="DF1" s="67" t="s">
        <v>268</v>
      </c>
      <c r="DG1" s="67" t="s">
        <v>269</v>
      </c>
      <c r="DH1" s="28" t="s">
        <v>4</v>
      </c>
      <c r="DI1" s="4" t="s">
        <v>3</v>
      </c>
      <c r="DJ1" s="4" t="s">
        <v>2</v>
      </c>
      <c r="DK1" s="39" t="s">
        <v>5</v>
      </c>
      <c r="DL1" s="39" t="s">
        <v>112</v>
      </c>
      <c r="DM1" s="4" t="s">
        <v>6</v>
      </c>
      <c r="DN1" s="4" t="s">
        <v>43</v>
      </c>
      <c r="DO1" s="4" t="s">
        <v>64</v>
      </c>
      <c r="DP1" s="39" t="s">
        <v>270</v>
      </c>
      <c r="DQ1" s="4" t="s">
        <v>176</v>
      </c>
      <c r="DR1" s="79" t="s">
        <v>14</v>
      </c>
    </row>
    <row r="2" spans="1:122" ht="16" customHeight="1">
      <c r="B2" s="67" t="s">
        <v>310</v>
      </c>
      <c r="C2" s="57" t="s">
        <v>312</v>
      </c>
      <c r="D2" s="67" t="s">
        <v>311</v>
      </c>
      <c r="J2" s="39">
        <v>44.9</v>
      </c>
      <c r="K2" s="39">
        <v>0.13</v>
      </c>
      <c r="L2" s="39">
        <v>4.28</v>
      </c>
      <c r="M2" s="39">
        <v>0.37</v>
      </c>
      <c r="N2" s="58">
        <v>0.31</v>
      </c>
      <c r="O2" s="59">
        <v>7.79</v>
      </c>
      <c r="P2" s="60">
        <f>N2*1/((159.69/71.844)/2)+O2</f>
        <v>8.0689359383806121</v>
      </c>
      <c r="R2" s="39">
        <v>38.22</v>
      </c>
      <c r="U2" s="60">
        <v>3.5</v>
      </c>
      <c r="V2" s="60">
        <v>0.28999999999999998</v>
      </c>
      <c r="W2" s="60">
        <v>0</v>
      </c>
      <c r="X2" s="60"/>
      <c r="Y2" s="60"/>
      <c r="Z2" s="60"/>
      <c r="AA2" s="60"/>
      <c r="AB2" s="60"/>
      <c r="AD2" s="86">
        <v>0</v>
      </c>
      <c r="AE2" s="86">
        <v>0</v>
      </c>
      <c r="AF2" s="86">
        <v>100</v>
      </c>
      <c r="AG2" s="86"/>
      <c r="AH2" s="71">
        <f>IF(O2&lt;&gt;"",2*N2/159.69/(P2/71.844),0)</f>
        <v>3.4569110538333662E-2</v>
      </c>
      <c r="AJ2" s="97">
        <v>0</v>
      </c>
      <c r="AQ2" s="60">
        <f>AB2-O2*0.111+AN2/10000*0.7484 +AO2/10000*0.3742</f>
        <v>-0.86469000000000007</v>
      </c>
      <c r="AR2" s="124">
        <f>IF(O2&lt;&gt;"",SUM(R2,J2,L2,Q2,O2,N2,S2,T2,U2,K2,M2,AI2,AK2,V2,W2,Z2,AA2,AD2,AE2,Y2,X2),
IF(O2="",SUM(R2,J2,L2,Q2,P2,S2,T2,U2,K2,M2,AI2,AK2,V2,W2,Z2,AA2,AD2,AE2,Y2,X2),
))</f>
        <v>99.79000000000002</v>
      </c>
      <c r="AS2" s="126"/>
      <c r="AT2" s="126"/>
      <c r="AU2" s="140">
        <f>AL2</f>
        <v>0</v>
      </c>
      <c r="AV2" s="140">
        <f>AK2*(12.011/(12.011+2*15.999))*100/AR2</f>
        <v>0</v>
      </c>
      <c r="AW2" s="140">
        <f>IF(O2="",P2*(55.845/(55.845+15.999))*100/AR2,O2*(55.845/(55.845+15.999))*100/AR2)</f>
        <v>6.0679811937790245</v>
      </c>
      <c r="AX2" s="140">
        <f>N2*(2*55.845/(2*55.845+3*15.999))*100/AR2</f>
        <v>0.21727982367209425</v>
      </c>
      <c r="AY2" s="140">
        <f>AN2/10000*100/AR2</f>
        <v>0</v>
      </c>
      <c r="AZ2" s="140">
        <f>AO2/10000*100/AR2</f>
        <v>0</v>
      </c>
      <c r="BA2" s="140">
        <f>AP2/10000*100/AR2</f>
        <v>0</v>
      </c>
      <c r="BB2" s="126"/>
      <c r="BC2" s="68" t="s">
        <v>146</v>
      </c>
      <c r="BD2" s="124"/>
      <c r="BE2" s="96" t="s">
        <v>302</v>
      </c>
      <c r="BF2" s="124"/>
      <c r="BG2" s="50" t="str">
        <f>IF(AND(BE2="Anions",BC2="Amph"),23,
IF(AND(BE2="Cations",BC2="Amph"),CF2,
IF(AND(BE2="Anions",BC2="Mica"),11,
IF(AND(BE2="Cations",BC2="Mica"),CF2,
IF(AND(BE2="Anions",BC2="Ti-Chu"),17.5,
IF(AND(BE2="Cations",BC2="Ti-Chu"),CF2,
IF(AND(BE2="Anions",BC2="F-Ph"),11.5,
IF(AND(BE2="Cations",BC2="F-Ph"),CF2,
IF(AND(BE2="Anions",BC2="Pl"),8,
IF(AND(BE2="Cations",BC2="Pl"),CF2,
IF(AND(BE2="Anions",BC2="Dol"),2,
IF(AND(BE2="Cations",BC2="Dol"),CF2,
IF(AND(BE2="Anions",BC2="Cb"),1,
IF(AND(BE2="Cations",BC2="Cb"),CF2,
IF(AND(BE2="Anions",BC2="Br"),1,
IF(AND(BE2="Cations",BC2="Br"),CF2,
IF(AND(BE2="Anions",BC2="Liz"),7,
IF(AND(BE2="Cations",BC2="Liz"),CF2,
IF(AND(BE2="Anions",BC2="Ep"),12.5,
IF(AND(BE2="Cations",BC2="Ep"),CF2,
IF(AND(BE2="Anions",BC2="Chum"),17,
IF(AND(BE2="Cations",BC2="Chum"),CF2,
IF(AND(BE2="Anions",BC2="Ol"),4,
IF(AND(BE2="Cations",BC2="Ol"),CF2,
IF(AND(BE2="Anions",BC2="Opx"),6,
IF(AND(BE2="Cations",BC2="Opx"),CF2,
IF(AND(BE2="Anions",BC2="Tlc"),11,
IF(AND(BE2="Cations",BC2="Tlc"),CF2,
IF(AND(BE2="Anions",BC2="Tr"),23,
IF(AND(BE2="Cations",BC2="Tr"),CF2,
IF(AND(BE2="Anions",BC2="Atg"),6.824,
IF(AND(BE2="Cations",BC2="Atg"),CF2,
IF(AND(BE2="Anions",BC2="Chl"),14,
IF(AND(BE2="Cations",BC2="Chl"),CF2,
IF(AND(BE2="Anions",BC2="Cpx"),6,
IF(AND(BE2="Cations",BC2="Cpx"),CF2,
IF(AND(BE2="both",BC2="Cpx"),6,
IF(AND(BE2="Anions",BC2="Grt"),12,
IF(AND(BE2="Cations",BC2="Grt"),CF2,
IF(AND(BE2="both",BC2="Grt"),12,
IF(AND(BE2="Anions",BC2="Mag"),4,
IF(AND(BE2="Cations",BC2="Mag"),CF2,
IF(AND(BE2="both",BC2="Mag"),4,
IF(AND(BE2="Anions",BC2="Ti-Cho"),9.5,
IF(AND(BE2="Cations",BC2="Ti-Cho"),CF2,
IF(AND(BE2="Anions",BC2="Ilv"),8.5,
IF(AND(BE2="Cations",BC2="Ilv"),CF2,
IF(AND(BE2="both",BC2="Ilv"),8.5,
IF(AND(BE2="Anions",BC2="Hem"),3,
IF(AND(BE2="Cations",BC2="Hem"),CF2,
IF(AND(BE2="both",BC2="Hem"),3,
IF(AND(BE2="Anions",BC2="WR"),100,
IF(AND(BE2="mol/kg",BC2="WR"),"",
IF(AND(BE2="Cations",BC2="WR"),CF2
)))))))))))))))))))))))))))))))))))))))))))))))))))
)))</f>
        <v/>
      </c>
      <c r="BH2" s="50" t="str">
        <f>IF(AND(BE2="Anions",BC2="Amph"),CE2,
IF(AND(BE2="Cations",BC2="Amph"),15,
IF(AND(BE2="Anions",BC2="Mica"),CE2,
IF(AND(BE2="Cations",BC2="Mica"),7,
IF(AND(BE2="Anions",BC2="Ti-Chu"),CE2,
IF(AND(BE2="Cations",BC2="Ti-Chu"),13,
IF(AND(BE2="Anions",BC2="F-Ph"),CE2,
IF(AND(BE2="Cations",BC2="F-Ph"),8,
IF(AND(BE2="Anions",BC2="Pl"),CE2,
IF(AND(BE2="Cations",BC2="Pl"),5,
IF(AND(BE2="Anions",BC2="Dol"),CE2,
IF(AND(BE2="Cations",BC2="Dol"),2,
IF(AND(BE2="Anions",BC2="Cb"),CE2,
IF(AND(BE2="Cations",BC2="Cb"),1,
IF(AND(BE2="Anions",BC2="Br"),CE2,
IF(AND(BE2="Cations",BC2="Br"),1,
IF(AND(BE2="Anions",BC2="Liz"),CE2,
IF(AND(BE2="Cations",BC2="Liz"),5,
IF(AND(BE2="Anions",BC2="Ep"),CE2,
IF(AND(BE2="Cations",BC2="Ep"),8,
IF(AND(BE2="Anions",BC2="Chum"),CE2,
IF(AND(BE2="Cations",BC2="Chum"),13,
IF(AND(BE2="Anions",BC2="Ol"),CE2,
IF(AND(BE2="Cations",BC2="Ol"),3,
IF(AND(BE2="Anions",BC2="Opx"),CE2,
IF(AND(BE2="Cations",BC2="Opx"),4,
IF(AND(BE2="Anions",BC2="Tlc"),CE2,
IF(AND(BE2="Cations",BC2="Tlc"),7,
IF(AND(BE2="Anions",BC2="Tr"),CE2,
IF(AND(BE2="Cations",BC2="Tr"),15,
IF(AND(BE2="Anions",BC2="Atg"),CE2,
IF(AND(BE2="Cations",BC2="Atg"),4.825,
IF(AND(BE2="Anions",BC2="Chl"),CE2,
IF(AND(BE2="Cations",BC2="Chl"),10,
IF(AND(BE2="Anions",BC2="Cpx"),CE2,
IF(AND(BE2="Cations",BC2="Cpx"),4,
IF(AND(BE2="both",BC2="Cpx"),4,
IF(AND(BE2="Anions",BC2="Grt"),CE2,
IF(AND(BE2="Cations",BC2="Grt"),8,
IF(AND(BE2="both",BC2="Grt"),8,
IF(AND(BE2="Anions",BC2="Mag"),CE2,
IF(AND(BE2="Cations",BC2="Mag"),3,
IF(AND(BE2="both",BC2="Mag"),3,
IF(AND(BE2="Anions",BC2="Ti-Cho"),CE2,
IF(AND(BE2="Cations",BC2="Ti-Cho"),7,
IF(AND(BE2="Anions",BC2="Ilv"),CE2,
IF(AND(BE2="Cations",BC2="Ilv"),6,
IF(AND(BE2="both",BC2="Ilv"),6,
IF(AND(BE2="Anions",BC2="Hem"),CE2,
IF(AND(BE2="Cations",BC2="Hem"),2,
IF(AND(BE2="both",BC2="Hem"),2,
IF(AND(BE2="Anions",BC2="WR"),CE2,
IF(AND(BE2="mol/kg",BC2="WR"),"",
IF(AND(BE2="Cations",BC2="WR"),100,
))))))))))))))))))))))))))))))))))))))))))))))))
))))))</f>
        <v/>
      </c>
      <c r="BI2" s="51"/>
      <c r="BJ2" s="12"/>
      <c r="BK2" s="76">
        <f>IF(AND(O2&lt;&gt;"",BE2="Anions"),J2/60.08*BG2/(J2*2/60.08+K2*2/79.88+L2*3/101.96+M2*3/151.99+N2*3/159.69+O2/71.85+Q2/70.94+R2/40.3+S2/74.69+T2/81.38+U2/56.08+V2/61.98+W2/94.2+X2*5/141.944522+Y2*3/80.06+Z2/18.9984+AA2/35.453+AK2/44.01*2-AU2/12.011-AY2/32.065-2*AZ2/32.065+BA2*3/32.065+AJ2/18.01528),
IF(AND(O2&lt;&gt;"",BE2="mol/kg"),J2/60.08*10*100/AR2,
IF(AND(O2="",BE2="mol/kg"),J2/60.08*10*100/AR2,
IF(AND(O2="",BE2="Anions"),J2/60.08*BG2/(J2*2/60.08+K2*2/79.88+L2*3/101.96+M2*3/151.99+N2*3/159.69+P2/71.85+Q2/70.94+R2/40.3+S2/74.69+T2/81.38+U2/56.08+V2/61.98+W2/94.2+X2*5/141.944522+Y2*3/80.06+Z2/18.9984+AA2/35.453+AK2/44.01*2-AU2/12.011-AY2/32.065-2*AZ2/32.065+BA2*3/32.065+AJ2/18.01528),
))))</f>
        <v>7.4890959430249575</v>
      </c>
      <c r="BL2" s="76">
        <f>IF(AND(O2&lt;&gt;"",BE2="Anions"),K2/79.88*BG2/(J2*2/60.08+K2*2/79.88+L2*3/101.96+M2*3/151.99+N2*3/159.69+O2/71.85+Q2/70.94+R2/40.3+S2/74.69+T2/81.38+U2/56.08+V2/61.98+W2/94.2+X2*5/141.944522+Y2*3/80.06+Z2/18.9984+AA2/35.453+AK2/44.01*2-AU2/12.011-AY2/32.065-2*AZ2/32.065+BA2*3/32.065+AJ2/18.01528),
IF(AND(O2&lt;&gt;"",BE2="mol/kg"),K2/79.88*10*100/AR2,
IF(AND(O2="",BE2="mol/kg"),K2/79.88*10*100/AR2,
IF(AND(O2="",BE2="Anions"),K2/79.88*BG2/(J2*2/60.08+K2*2/79.88+L2*3/101.96+M2*3/151.99+N2*3/159.69+P2/71.85+Q2/70.94+R2/40.3+S2/74.69+T2/81.38+U2/56.08+V2/61.98+W2/94.2+X2*5/141.944522+Y2*3/80.06+Z2/18.9984+AA2/35.453+AK2/44.01*2-AU2/12.011-AY2/32.065-2*AZ2/32.065+BA2*3/32.065+AJ2/18.01528),
))))</f>
        <v>1.6308659803012465E-2</v>
      </c>
      <c r="BM2" s="76">
        <f>IF(AND(O2&lt;&gt;"",BE2="Anions"),2*L2/101.96*BG2/(J2*2/60.08+K2*2/79.88+L2*3/101.96+M2*3/151.99+N2*3/159.69+O2/71.85+Q2/70.94+R2/40.3+S2/74.69+T2/81.38+U2/56.08+V2/61.98+W2/94.2+X2*5/141.944522+Y2*3/80.06+Z2/18.9984+AA2/35.453+AK2/44.01*2-AU2/12.011-AY2/32.065-2*AZ2/32.065+BA2*3/32.065+AJ2/18.01528),
IF(AND(O2&lt;&gt;"",BE2="mol/kg"),2*L2/101.96*10*100/AR2,
IF(AND(O2="",BE2="mol/kg"),2*L2/101.96*10*100/AR2,
IF(AND(O2="",BE2="Anions"),2*L2/101.96*BG2/(J2*2/60.08+K2*2/79.88+L2*3/101.96+M2*3/151.99+N2*3/159.69+P2/71.85+Q2/70.94+R2/40.3+S2/74.69+T2/81.38+U2/56.08+V2/61.98+W2/94.2+X2*5/141.944522+Y2*3/80.06+Z2/18.9984+AA2/35.453+AK2/44.01*2-AU2/12.011-AY2/32.065-2*AZ2/32.065+BA2*3/32.065+AJ2/18.01528),
))))</f>
        <v>0.84131167409189733</v>
      </c>
      <c r="BN2" s="76">
        <f>IF(AND(O2&lt;&gt;"",BE2="Anions"),2*M2/151.99*BG2/(J2*2/60.08+K2*2/79.88+L2*3/101.96+M2*3/151.99+N2*3/159.69+O2/71.85+Q2/70.94+R2/40.3+S2/74.69+T2/81.38+U2/56.08+V2/61.98+W2/94.2+X2*5/141.944522+Y2*3/80.06+Z2/18.9984+AA2/35.453+AK2/44.01*2-AU2/12.011-AY2/32.065-2*AZ2/32.065+BA2*3/32.065+AJ2/18.01528),
IF(AND(O2&lt;&gt;"",BE2="mol/kg"),2*M2/151.99*10*100/AR2,
IF(AND(O2="",BE2="mol/kg"),2*M2/151.99*10*100/AR2,
IF(AND(O2="",BE2="Anions"),2*M2/151.99*BG2/(J2*2/60.08+K2*2/79.88+L2*3/101.96+M2*3/151.99+N2*3/159.69+P2/71.85+Q2/70.94+R2/40.3+S2/74.69+T2/81.38+U2/56.08+V2/61.98+W2/94.2+X2*5/141.944522+Y2*3/80.06+Z2/18.9984+AA2/35.453+AK2/44.01*2-AU2/12.011-AY2/32.065-2*AZ2/32.065+BA2*3/32.065+AJ2/18.01528),
))))</f>
        <v>4.8789872377627587E-2</v>
      </c>
      <c r="BO2" s="76">
        <f>IF(AND(O2&lt;&gt;"",BE2="Anions"),O2/71.85*BG2/(J2*2/60.08+K2*2/79.88+L2*3/101.96+M2*3/151.99+N2*3/159.69+O2/71.85+Q2/70.94+R2/40.3+S2/74.69+T2/81.38+U2/56.08+V2/61.98+W2/94.2+X2*5/141.944522+Y2*3/80.06+Z2/18.9984+AA2/35.453+AK2/44.01*2-AU2/12.011-AY2/32.065-2*AZ2/32.065+BA2*3/32.065+AJ2/18.01528),
IF(AND(O2&lt;&gt;"",BE2="mol/kg"),(O2/71.85+N2*2/159.69)*10*100/AR2,
IF(AND(O2="",BE2="mol/kg"),(P2/71.85)*10*100/AR2,
IF(AND(O2="",BE2="Anions"),P2/71.85*BG2/(J2*2/60.08+K2*2/79.88+L2*3/101.96+M2*3/151.99+N2*3/159.69+P2/71.85+Q2/70.94+R2/40.3+S2/74.69+T2/81.38+U2/56.08+V2/61.98+W2/94.2+X2*5/141.944522+Y2*3/80.06+Z2/18.9984+AA2/35.453+AK2/44.01*2-AU2/12.011-AY2/32.065-2*AZ2/32.065+BA2*3/32.065+AJ2/18.01528),
))))</f>
        <v>1.1253917476547561</v>
      </c>
      <c r="BP2" s="77" t="str">
        <f>IF(AND(O2&lt;&gt;"",BE2="Anions"),N2*2/159.69*BG2/(J2*2/60.08+K2*2/79.88+L2*3/101.96+M2*3/151.99+N2*3/159.69+O2/71.85+Q2/70.94+R2/40.3+S2/74.69+T2/81.38+U2/56.08+V2/61.98+W2/94.2+X2*5/141.944522+Y2*3/80.06+Z2/18.9984+AA2/35.453+AK2/44.01*2-AU2/12.011-AY2/32.065-2*AZ2/32.065+BA2*3/32.065+AJ2/18.01528),
IF(AND(O2&lt;&gt;"",BE2="mol/kg"),"-",
IF(AND(O2="",BE2="mol/kg"),"-",
IF(AND(O2="",BE2="Anions"),N2*2/159.69*BG2/(J2*2/60.08+K2*2/79.88+L2*3/101.96+M2*3/151.99+N2*3/159.69+P2/71.85+Q2/70.94+R2/40.3+S2/74.69+T2/81.38+U2/56.08+V2/61.98+W2/94.2+X2*5/141.944522+Y2*3/80.06+Z2/18.9984+AA2/35.453+AK2/44.01*2-AU2/12.011-AY2/32.065-2*AZ2/32.065+BA2*3/32.065+AJ2/18.01528),
))))</f>
        <v>-</v>
      </c>
      <c r="BQ2" s="76">
        <f>IF(AND(O2&lt;&gt;"",BE2="Anions"),Q2/70.94*BG2/(J2*2/60.08+K2*2/79.88+L2*3/101.96+M2*3/151.99+N2*3/159.69+O2/71.85+Q2/70.94+R2/40.3+S2/74.69+T2/81.38+U2/56.08+V2/61.98+W2/94.2+X2*5/141.944522+Y2*3/80.06+Z2/18.9984+AA2/35.453+AK2/44.01*2-AU2/12.011-AY2/32.065-2*AZ2/32.065+BA2*3/32.065+AJ2/18.01528),
IF(AND(O2&lt;&gt;"",BE2="mol/kg"),Q2/70.94*10*100/AR2,
IF(AND(O2="",BE2="mol/kg"),Q2/70.94*10*100/AR2,
IF(AND(O2="",BE2="Anions"),Q2/70.94*BG2/(J2*2/60.08+K2*2/79.88+L2*3/101.96+M2*3/151.99+N2*3/159.69+P2/71.85+Q2/70.94+R2/40.3+S2/74.69+T2/81.38+U2/56.08+V2/61.98+W2/94.2+X2*5/141.944522+Y2*3/80.06+Z2/18.9984+AA2/35.453+AK2/44.01*2-AU2/12.011-AY2/32.065-2*AZ2/32.065+BA2*3/32.065+AJ2/18.01528),
))))</f>
        <v>0</v>
      </c>
      <c r="BR2" s="76">
        <f>IF(AND(O2&lt;&gt;"",BE2="Anions"),R2/40.3*BG2/(J2*2/60.08+K2*2/79.88+L2*3/101.96+M2*3/151.99+N2*3/159.69+O2/71.85+Q2/70.94+R2/40.3+S2/74.69+T2/81.38+U2/56.08+V2/61.98+W2/94.2+X2*5/141.944522+Y2*3/80.06+Z2/18.9984+AA2/35.453+AK2/44.01*2-AU2/12.011-AY2/32.065-2*AZ2/32.065+BA2*3/32.065+AJ2/18.01528),
IF(AND(O2&lt;&gt;"",BE2="mol/kg"),R2/40.3*10*100/AR2,
IF(AND(O2="",BE2="mol/kg"),R2/40.3*10*100/AR2,
IF(AND(O2="",BE2="Anions"),R2/40.3*BG2/(J2*2/60.08+K2*2/79.88+L2*3/101.96+M2*3/151.99+N2*3/159.69+P2/71.85+Q2/70.94+R2/40.3+S2/74.69+T2/81.38+U2/56.08+V2/61.98+W2/94.2+X2*5/141.944522+Y2*3/80.06+Z2/18.9984+AA2/35.453+AK2/44.01*2-AU2/12.011-AY2/32.065-2*AY2/32.065+AY2*3/32.065+AJ2/18.01528),
))))</f>
        <v>9.5038290086601211</v>
      </c>
      <c r="BS2" s="76">
        <f>IF(AND(O2&lt;&gt;"",BE2="Anions"),S2/74.69*BG2/(J2*2/60.08+K2*2/79.88+L2*3/101.96+M2*3/151.99+N2*3/159.69+O2/71.85+Q2/70.94+R2/40.3+S2/74.69+T2/81.38+U2/56.08+V2/61.98+W2/94.2+X2*5/141.944522+Y2*3/80.06+Z2/18.9984+AA2/35.453+AK2/44.01*2-AU2/12.011-AY2/32.065-2*AZ2/32.065+BA2*3/32.065+AJ2/18.01528),
IF(AND(O2&lt;&gt;"",BE2="mol/kg"),S2/74.69*10*100/AR2,
IF(AND(O2="",BE2="mol/kg"),S2/74.69*10*100/AR2,
IF(AND(O2="",BE2="Anions"),S2/74.69*BG2/(J2*2/60.08+K2*2/79.88+L2*3/101.96+M2*3/151.99+N2*3/159.69+P2/71.85+Q2/70.94+R2/40.3+S2/74.69+T2/81.38+U2/56.08+V2/61.98+W2/94.2+X2*5/141.944522+Y2*3/80.06+Z2/18.9984+AA2/35.453+AK2/44.01*2-AU2/12.011-AY2/32.065-2*AZ2/32.065+BA2*3/32.065+AJ2/18.01528),
))))</f>
        <v>0</v>
      </c>
      <c r="BT2" s="76">
        <f>IF(AND(O2&lt;&gt;"",BE2="Anions"),T2/81.38*BG2/(J2*2/60.08+K2*2/79.88+L2*3/101.96+M2*3/151.99+N2*3/159.69+O2/71.85+Q2/70.94+R2/40.3+S2/74.69+T2/81.38+U2/56.08+V2/61.98+W2/94.2+X2*5/141.944522+Y2*3/80.06+Z2/18.9984+AA2/35.453+AK2/44.01*2-AU2/12.011-AY2/32.065-2*AZ2/32.065+BA2*3/32.065+AJ2/18.01528),
IF(AND(O2&lt;&gt;"",BE2="mol/kg"),T2/81.38*10*100/AR2,
IF(AND(O2="",BE2="mol/kg"),T2/81.38*10*100/AR2,
IF(AND(O2="",BE2="Anions"),T2/81.38*BG2/(J2*2/60.08+K2*2/79.88+L2*3/101.96+M2*3/151.99+N2*3/159.69+P2/71.85+Q2/70.94+R2/40.3+S2/74.69+T2/81.38+U2/56.08+V2/61.98+W2/94.2+X2*5/141.944522+Y2*3/80.06+Z2/18.9984+AA2/35.453+AK2/44.01*2-AU2/12.011-AY2/32.065-2*AZ2/32.065+BA2*3/32.065+AJ2/18.01528),
))))</f>
        <v>0</v>
      </c>
      <c r="BU2" s="76">
        <f>IF(AND(O2&lt;&gt;"",BE2="Anions"),U2/56.08*BG2/(J2*2/60.08+K2*2/79.88+L2*3/101.96+M2*3/151.99+N2*3/159.69+O2/71.85+Q2/70.94+R2/40.3+S2/74.69+T2/81.38+U2/56.08+V2/61.98+W2/94.2+X2*5/141.944522+Y2*3/80.06+Z2/18.9984+AA2/35.453+AK2/44.01*2-AU2/12.011-AY2/32.065-2*AZ2/32.065+BA2*3/32.065+AJ2/18.01528),
IF(AND(O2&lt;&gt;"",BE2="mol/kg"),U2/56.08*10*100/AR2,
IF(AND(O2="",BE2="mol/kg"),U2/56.08*10*100/AR2,
IF(AND(O2="",BE2="Anions"),U2/56.08*BG2/(J2*2/60.08+K2*2/79.88+L2*3/101.96+M2*3/151.99+N2*3/159.69+P2/71.85+Q2/70.94+R2/40.3+S2/74.69+T2/81.38+U2/56.08+V2/61.98+W2/94.2+X2*5/141.944522+Y2*3/80.06+Z2/18.9984+AA2/35.453+AK2/44.01*2-AU2/12.011-AY2/32.065-2*AY2/32.065+AY2*3/32.065+AJ2/18.01528),
))))</f>
        <v>0.6254218023326874</v>
      </c>
      <c r="BV2" s="76">
        <f>IF(AND(O2&lt;&gt;"",BE2="Anions"),2*V2/61.98*BG2/(J2*2/60.08+K2*2/79.88+L2*3/101.96+M2*3/151.99+N2*3/159.69+O2/71.85+Q2/70.94+R2/40.3+S2/74.69+T2/81.38+U2/56.08+V2/61.98+W2/94.2+X2*5/141.944522+Y2*3/80.06+Z2/18.9984+AA2/35.453+AK2/44.01*2-AU2/12.011-AY2/32.065-2*AZ2/32.065+BA2*3/32.065+AJ2/18.01528),
IF(AND(O2&lt;&gt;"",BE2="mol/kg"),2*V2/61.98*10*100/AR2,
IF(AND(O2="",BE2="mol/kg"),2*V2/61.98*10*100/AR2,
IF(AND(O2="",BE2="Anions"),2*V2/61.98*BG2/(J2*2/60.08+K2*2/79.88+L2*3/101.96+M2*3/151.99+N2*3/159.69+P2/71.85+Q2/70.94+R2/40.3+S2/74.69+T2/81.38+U2/56.08+V2/61.98+W2/94.2+X2*5/141.944522+Y2*3/80.06+Z2/18.9984+AA2/35.453+AK2/44.01*2-AU2/12.011-AY2/32.065-2*AZ2/32.065+BA2*3/32.065+AJ2/18.01528),
))))</f>
        <v>9.377550228826774E-2</v>
      </c>
      <c r="BW2" s="76">
        <f>IF(AND(O2&lt;&gt;"",BE2="Anions"),2*W2/94.2*BG2/(J2*2/60.08+K2*2/79.88+L2*3/101.96+M2*3/151.99+N2*3/159.69+O2/71.85+Q2/70.94+R2/40.3+S2/74.69+T2/81.38+U2/56.08+V2/61.98+W2/94.2+X2*5/141.944522+Y2*3/80.06+Z2/18.9984+AA2/35.453+AK2/44.01*2-AU2/12.011-AY2/32.065-2*AZ2/32.065+BA2*3/32.065+AJ2/18.01528),
IF(AND(O2&lt;&gt;"",BE2="mol/kg"),2*W2/94.2*10*100/AR2,
IF(AND(O2="",BE2="mol/kg"),2*W2/94.2*10*100/AR2,
IF(AND(O2="",BE2="Anions"),2*W2/94.2*BG2/(J2*2/60.08+K2*2/79.88+L2*3/101.96+M2*3/151.99+N2*3/159.69+P2/71.85+Q2/70.94+R2/40.3+S2/74.69+T2/81.38+U2/56.08+V2/61.98+W2/94.2+X2*5/141.944522+Y2*3/80.06+Z2/18.9984+AA2/35.453+AK2/44.01*2-AU2/12.011-AY2/32.065-2*AZ2/32.065+BA2*3/32.065+AJ2/18.01528),
))))</f>
        <v>0</v>
      </c>
      <c r="BX2" s="76">
        <f>IF(AND(O2&lt;&gt;"",BE2="Anions"),X2*2/141.944522*BG2/(J2*2/60.08+K2*2/79.88+L2*3/101.96+M2*3/151.99+N2*3/159.69+O2/71.85+Q2/70.94+R2/40.3+S2/74.69+T2/81.38+U2/56.08+V2/61.98+W2/94.2+X2*5/141.944522+Y2*3/80.06+Z2/18.9984+AA2/35.453+AK2/44.01*2-AU2/12.011-AY2/32.065-2*AZ2/32.065+BA2*3/32.065+AJ2/18.01528),
IF(AND(O2&lt;&gt;"",BE2="mol/kg"),X2*2/141.944522*10*100/AR2,
IF(AND(O2="",BE2="mol/kg"),X2*2/141.944522*10*100/AR2,
IF(AND(O2="",BE2="Anions"),X2*2/141.944522*BG2/(J2*2/60.08+K2*2/79.88+L2*3/101.96+M2*3/151.99+N2*3/159.69+P2/71.85+Q2/70.94+R2/40.3+S2/74.69+T2/81.38+U2/56.08+V2/61.98+W2/94.2+X2*5/141.944522+Y2*3/80.06+Z2/18.9984+AA2/35.453+AK2/44.01*2-AU2/12.011-AY2/32.065-2*AZ2/32.065+BA2*3/32.065+AJ2/18.01528),
))))</f>
        <v>0</v>
      </c>
      <c r="BY2" s="76">
        <f>IF(AND(O2&lt;&gt;"",BE2="Anions"),(AK2/44.01+AL2/12.011)*BG2/(J2*2/60.08+K2*2/79.88+L2*3/101.96+M2*3/151.99+N2*3/159.69+O2/71.85+Q2/70.94+R2/40.3+S2/74.69+T2/81.38+U2/56.08+V2/61.98+W2/94.2+X2*5/141.944522+Y2*3/80.06+Z2/18.9984+AA2/35.453+AK2/44.01*2-AU2/12.011-AY2/32.065-2*AZ2/32.065+BA2*3/32.065+AJ2/18.01528),
IF(AND(O2&lt;&gt;"",BE2="mol/kg"),(AK2*(12.011/(12.011+31.999))+AL2)/12.011*10*100/AR2,
IF(AND(O2="",BE2="mol/kg"),(AK2*(12.011/(12.011+31.999))+AL2)/12.011*10*100/AR2,
IF(AND(O2="",BE2="Anions"),(AK2/44.01+AL2/12.011)*BG2/(J2*2/60.08+K2*2/79.88+L2*3/101.96+M2*3/151.99+N2*3/159.69+P2/71.85+Q2/70.94+R2/40.3+S2/74.69+T2/81.38+U2/56.08+V2/61.98+W2/94.2+X2*5/141.944522+Y2*3/80.06+Z2/18.9984+AA2/35.453+AK2/44.01*2-AU2/12.011-AY2/32.065-2*AZ2/32.065+BA2*3/32.065+AJ2/18.01528),
))))</f>
        <v>0</v>
      </c>
      <c r="BZ2" s="76">
        <f>IF(AND(O2&lt;&gt;"",BE2="Anions"),Y2/32.06/2*BG2/(J2*2/60.08+K2*2/79.88+L2*3/101.96+M2*3/151.99+N2*3/159.69+O2/71.85+Q2/70.94+R2/40.3+S2/74.69+T2/81.38+U2/56.08+V2/61.98+W2/94.2+X2*5/141.944522+Y2*3/80.06+Z2/18.9984+AA2/35.453+AK2/44.01*2-AU2/12.011-AY2/32.065-2*AZ2/32.065+BA2*3/32.065+AJ2/18.01528),
IF(AND(O2&lt;&gt;"",BE2="mol/kg"),Y2/32.06/2*10*100/AR2,
IF(AND(O2="",BE2="mol/kg"),Y2/32.06/2*10*100/AR2,
IF(AND(O2="",BE2="Anions"),Y2/32.06/2*BG2/(J2*2/60.08+K2*2/79.88+L2*3/101.96+M2*3/151.99+N2*3/159.69+P2/71.85+Q2/70.94+R2/40.3+S2/74.69+T2/81.38+U2/56.08+V2/61.98+W2/94.2+X2*5/141.944522+Y2*3/80.06+Z2/18.9984+AA2/35.453+AK2/44.01*2-AU2/12.011-AY2/32.065-2*AZ2/32.065+BA2*3/32.065+AJ2/18.01528),
))))</f>
        <v>0</v>
      </c>
      <c r="CA2" s="78">
        <f>IF(AND(O2&lt;&gt;"",BE2="Anions"),Z2/18.9984*BG2/(J2*2/60.08+K2*2/79.88+L2*3/101.96+M2*3/151.99+N2*3/159.69+O2/71.85+Q2/70.94+R2/40.3+S2/74.69+T2/81.38+U2/56.08+V2/61.98+W2/94.2+X2*5/141.944522+Y2*3/80.06+Z2/18.9984+AA2/35.453+AK2/44.01*2-AU2/12.011-AY2/32.065-2*AZ2/32.065+BA2*3/32.065+AJ2/18.01528),
IF(AND(O2&lt;&gt;"",BE2="mol/kg"),Z2/18.9984*10*100/AR2,
IF(AND(O2="",BE2="mol/kg"),Z2/18.9984*10*100/AR2,
IF(AND(O2="",BE2="Anions"),Z2/18.9984*BG2/(J2*2/60.08+K2*2/79.88+L2*3/101.96+M2*3/151.99+N2*3/159.69+P2/71.85+Q2/70.94+R2/40.3+S2/74.69+T2/81.38+U2/56.08+V2/61.98+W2/94.2+X2*5/141.944522+Y2*3/80.06+Z2/18.9984+AA2/35.453+AK2/44.01*2-AU2/12.011-AY2/32.065-2*AZ2/32.065+BA2*3/32.065+AJ2/18.01528),
))))</f>
        <v>0</v>
      </c>
      <c r="CB2" s="76">
        <f>IF(AND(O2&lt;&gt;"",BE2="Anions"),AA2/35.453*BG2/(J2*2/60.08+K2*2/79.88+L2*3/101.96+M2*3/151.99+N2*3/159.69+O2/71.85+Q2/70.94+R2/40.3+S2/74.69+T2/81.38+U2/56.08+V2/61.98+W2/94.2+X2*5/141.944522+Y2*3/80.06+Z2/18.9984+AA2/35.453+AK2/44.01*2-AU2/12.011-AY2/32.065-2*AZ2/32.065+BA2*3/32.065+AJ2/18.01528),
IF(AND(O2&lt;&gt;"",BE2="mol/kg"),AA2/35.453*10*100/AR2,
IF(AND(O2="",BE2="mol/kg"),AA2/35.453*10*100/AR2,
IF(AND(O2="",BE2="Anions"),AA2/35.453*BG2/(J2*2/60.08+K2*2/79.88+L2*3/101.96+M2*3/151.99+N2*3/159.69+P2/71.85+Q2/70.94+R2/40.3+S2/74.69+T2/81.38+U2/56.08+V2/61.98+W2/94.2+X2*5/141.944522+Y2*3/80.06+Z2/18.9984+AA2/35.453+AK2/44.01*2-AU2/12.011-AY2/32.065-2*AZ2/32.065+BA2*3/32.065+AJ2/18.01528),
))))</f>
        <v>0</v>
      </c>
      <c r="CC2" s="76">
        <f>IF(AND(O2&lt;&gt;"",BE2="Anions"),AJ2/18.01528*BG2/(J2*2/60.08+K2*2/79.88+L2*3/101.96+M2*3/151.99+N2*3/159.69+O2/71.85+Q2/70.94+R2/40.3+S2/74.69+T2/81.38+U2/56.08+V2/61.98+W2/94.2+X2*5/141.944522+Y2*3/80.06+Z2/18.9984+AA2/35.453+AK2/44.01*2-AU2/12.011-AY2/32.065-2*AZ2/32.065+BA2*3/32.065+AJ2/18.01528),
IF(AND(O2&lt;&gt;"",BE2="mol/kg"),AJ2/18.01528*10*100/AR2,
IF(AND(O2="",BE2="mol/kg"),AJ2/18.01528*10*100/AR2,
IF(AND(O2="",BE2="Anions"),AJ2/18.01528*BG2/(J2*2/60.08+K2*2/79.88+L2*3/101.96+M2*3/151.99+N2*3/159.69+P2/71.85+Q2/70.94+R2/40.3+S2/74.69+T2/81.38+U2/56.08+V2/61.98+W2/94.2+X2*5/141.944522+Y2*3/80.06+Z2/18.9984+AA2/35.453+AK2/44.01*2-AU2/12.011-AY2/32.065-2*AZ2/32.065+BA2*3/32.065+AJ2/18.01528),
))))</f>
        <v>0</v>
      </c>
      <c r="CD2" s="76">
        <f>IF(AND(O2&lt;&gt;"",BE2="Anions"),1/2*(BK2*2+BL2*2+BM2*3/2+BN2*3/2+BO2+BP2*3/2+BQ2+BR2+BS2+BT2+BU2+BV2/2+BW2/2+BX2*5+BY2*2+CC2),
IF(AND(O2="",BE2="Anions"),1/2*(BK2*2+BL2*2+BM2*3/2+BN2*3/2+BO2+BP2*3/2+BQ2+BR2+BS2+BT2+BU2+BV2/2+BW2/2+BX2*5+BY2*2+CC2),
IF(AND(O2&lt;&gt;"",BE2="mol/kg"),BK2+BL2+BM2*3/4+BN2*3/4+AW2/55.845*10/2+AX2/55.845*10*3/4+BR2/2+BS2/2+BT2/2+BU2/2+BV2/4+BW2/4+BX2*5/4+AV2/12*10-AY2/2/32.065*10-AZ2/4/32.065*10+BA2/32.065*10*3/2+CC2/2,
IF(AND(O2="",BE2="mol/kg"),BK2+BL2+BM2*3/4+BN2*3/4+AW2/55.845*10/2+AX2/55.845*10*3/4+BR2/2+BS2/2+BT2/2+BU2/2+BV2/4+BW2/4+BX2*5/4+AV2/12*10-AY2/2/32.065*10-AZ2/4/32.065*10+BA2/32.065*10*3/2+CC2/2,
))))</f>
        <v>13.833518566381514</v>
      </c>
      <c r="CE2" s="12">
        <f>SUM(BK2:BY2,2*CC2)</f>
        <v>19.743924210233327</v>
      </c>
      <c r="CF2" s="12">
        <f>IF(BE2="mol/kg",CA2+CB2+2*CD2,
BK2*2+BL2*2+BM2*3/2+BN2*3/2+BO2+BP2*3/2+BQ2+BR2+BS2+BT2+BU2+BV2/2+BW2/2+BX2*5+BY2*2 + CA2+CB2+CC2- 3*AL2/12.011*BG2/(J2*2/60.08+K2*2/79.88+L2*3/101.96+M2*3/151.99+N2*3/159.69+O2/71.85+Q2/70.94+R2/40.3+S2/74.69+T2/81.38+U2/56.08+V2/61.98+W2/94.2+X2*5/141.944522+Y2*3/80.06+Z2/18.9984+AA2/35.453+AK2/44.01*2-AU2/12.011-AY2/32.065-2*AZ2/32.065+BA2*3/32.065+AJ2/18.01528))</f>
        <v>27.667037132763028</v>
      </c>
      <c r="CG2" s="12"/>
      <c r="CH2" s="67" t="str">
        <f>"mol % oxide O2"</f>
        <v>mol % oxide O2</v>
      </c>
      <c r="CI2" s="81">
        <f>IF((CH2="mol % oxide O2"),J2/60.084*100/(J2/60.084+K2/79.866+L2/101.961+M2/151.99+O2/71.844+2*N2/159.69+Q2/70.937+R2/40.304+S2/74.693+T2/81.38+U2/56.077+V2/61.979+W2/94.196+AJ2/18.015+1/2*N2/159.69),
IF((CH2="wt % oxide O2"),J2/60.084*100/(J2/60.084+K2/79.866+L2/101.961+M2/151.99+O2/71.844+2*N2/159.69+Q2/70.937+R2/40.304+S2/74.693+T2/81.38+U2/56.077+V2/61.979+W2/94.196+AJ2/18.015+1/2*N2/159.69),
IF((CH2="mol % oxide O"),J2/60.084*100/(J2/60.084+K2/79.866+L2/101.961+M2/151.99+O2/71.844+2*N2/159.69+Q2/70.937+R2/40.304+S2/74.693+T2/81.38+U2/56.077+V2/61.979+W2/94.196+AJ2/18.015+N2/159.69),
IF((CH2="mol % oxide Fe2O3"),J2/60.084*100/(J2/60.084+K2/79.866+L2/101.961+M2/151.99+O2/71.844+N2/159.69+Q2/70.937+R2/40.304+S2/74.693+T2/81.38+U2/56.077+V2/61.979+W2/94.196+AJ2/18.015),
IF((CH2="mineral oxide O2"),BK2,
IF((CH2=""),"",
))))))</f>
        <v>38.880810257309548</v>
      </c>
      <c r="CJ2" s="81">
        <f>IF((CH2="mol % oxide O2"),K2/79.866*100/(J2/60.084+K2/79.866+L2/101.961+M2/151.99+O2/71.844+2*N2/159.69+Q2/70.937+R2/40.304+S2/74.693+T2/81.38+U2/56.077+V2/61.979+W2/94.196+AJ2/18.015+1/2*N2/159.69),
IF((CH2="mol % oxide O"),K2/79.866*100/(J2/60.084+K2/79.866+L2/101.961+M2/151.99+O2/71.844+2*N2/159.69+Q2/70.937+R2/40.304+S2/74.693+T2/81.38+U2/56.077+V2/61.979+W2/94.196+AJ2/18.015+N2/159.69),
IF((CH2="mol % oxide Fe2O3"),K2/79.866*100/(J2/60.084+K2/79.866+L2/101.961+M2/151.99+O2/71.844+N2/159.69+Q2/70.937+R2/40.304+S2/74.693+T2/81.38+U2/56.077+V2/61.979+W2/94.196+AJ2/18.015),
IF((CH2="mineral oxide O2"),BL2,
IF((CH2=""),"",
)))))</f>
        <v>8.4689432320022545E-2</v>
      </c>
      <c r="CK2" s="81">
        <f>IF((CH2="mol % oxide O2"),L2/101.961*100/(J2/60.084+K2/79.866+L2/101.961+M2/151.99+O2/71.844+2*N2/159.69+Q2/70.937+R2/40.304+S2/74.693+T2/81.38+U2/56.077+V2/61.979+W2/94.196+AJ2/18.015+1/2*N2/159.69),
IF((CH2="mol % oxide O"),L2/101.961*100/(J2/60.084+K2/79.866+L2/101.961+M2/151.99+O2/71.844+2*N2/159.69+Q2/70.937+R2/40.304+S2/74.693+T2/81.38+U2/56.077+V2/61.979+W2/94.196+AJ2/18.015+N2/159.69),
IF((CH2="mol % oxide Fe2O3"),L2/101.961*100/(J2/60.084+K2/79.866+L2/101.961+M2/151.99+O2/71.844+N2/159.69+Q2/70.937+R2/40.304+S2/74.693+T2/81.38+U2/56.077+V2/61.979+W2/94.196+AJ2/18.015),
IF((CH2="mineral oxide O2"),BM2/2,
IF((CH2=""),"",
)))))</f>
        <v>2.1840244002157343</v>
      </c>
      <c r="CL2" s="81">
        <f>IF((CH2="mol % oxide O2"),M2/151.99*100/(J2/60.084+K2/79.866+L2/101.961+M2/151.99+O2/71.844+2*N2/159.69+Q2/70.937+R2/40.304+S2/74.693+T2/81.38+U2/56.077+V2/61.979+W2/94.196+AJ2/18.015+1/2*N2/159.69),
IF((CH2="mol % oxide O"),M2/151.99*100/(J2/60.084+K2/79.866+L2/101.961+M2/151.99+O2/71.844+2*N2/159.69+Q2/70.937+R2/40.304+S2/74.693+T2/81.38+U2/56.077+V2/61.979+W2/94.196+AJ2/18.015+N2/159.69),
IF((CH2="mol % oxide Fe2O3"),M2/151.99*100/(J2/60.084+K2/79.866+L2/101.961+M2/151.99+O2/71.844+N2/159.69+Q2/70.937+R2/40.304+S2/74.693+T2/81.38+U2/56.077+V2/61.979+W2/94.196+AJ2/18.015),
IF((CH2="mineral oxide O2"),BN2/2,
IF((CH2=""),"",
)))))</f>
        <v>0.12665855013833097</v>
      </c>
      <c r="CM2" s="81">
        <f>IF((CH2="mol % oxide O2"),(O2/71.844+2*N2/159.69)*100/(J2/60.084+K2/79.866+L2/101.961+M2/151.99+O2/71.844+2*N2/159.69+Q2/70.937+R2/40.304+S2/74.693+T2/81.38+U2/56.077+V2/61.979+W2/94.196+AJ2/18.015+1/2*N2/159.69),
IF((CH2="mol % oxide O"),(O2/71.844+2*N2/159.69)*100/(J2/60.084+K2/79.866+L2/101.961+M2/151.99+O2/71.844+2*N2/159.69+Q2/70.937+R2/40.304+S2/74.693+T2/81.38+U2/56.077+V2/61.979+W2/94.196+AJ2/18.015+N2/159.69),
IF((CH2="mol % oxide Fe2O3"),O2/71.844*100/(J2/60.084+K2/79.866+L2/101.961+M2/151.99+O2/71.844+N2/159.69+Q2/70.937+R2/40.304+S2/74.693+T2/81.38+U2/56.077+V2/61.979+W2/94.196+AJ2/18.015),
IF((CH2="mineral oxide O2"),BP2+BO2,
IF((CH2=""),"",
)))))</f>
        <v>5.8435069724685711</v>
      </c>
      <c r="CN2" s="81">
        <f>IF((CH2="mol % oxide O2"),Q2/70.937*100/(J2/60.084+K2/79.866+L2/101.961+M2/151.99+O2/71.844+2*N2/159.69+Q2/70.937+R2/40.304+S2/74.693+T2/81.38+U2/56.077+V2/61.979+W2/94.196+AJ2/18.015+1/2*N2/159.69),
IF((CH2="mol % oxide O"),Q2/70.937*100/(J2/60.084+K2/79.866+L2/101.961+M2/151.99+O2/71.844+2*N2/159.69+Q2/70.937+R2/40.304+S2/74.693+T2/81.38+U2/56.077+V2/61.979+W2/94.196+AJ2/18.015+N2/159.69),
IF((CH2="mol % oxide Fe2O3"),Q2/70.937*100/(J2/60.084+K2/79.866+L2/101.961+M2/151.99+O2/71.844+N2/159.69+Q2/70.937+R2/40.304+S2/74.693+T2/81.38+U2/56.077+V2/61.979+W2/94.196+AJ2/18.015),
IF((CH2="mineral oxide O2"),BQ2,
IF((CH2=""),"",
)))))</f>
        <v>0</v>
      </c>
      <c r="CO2" s="81">
        <f>IF((CH2="mol % oxide O2"),R2/40.304*100/(J2/60.084+K2/79.866+L2/101.961+M2/151.99+O2/71.844+2*N2/159.69+Q2/70.937+R2/40.304+S2/74.693+T2/81.38+U2/56.077+V2/61.979+W2/94.196+AJ2/18.015+1/2*N2/159.69),
IF((CH2="mol % oxide O"),R2/40.304*100/(J2/60.084+K2/79.866+L2/101.961+M2/151.99+O2/71.844+2*N2/159.69+Q2/70.937+R2/40.304+S2/74.693+T2/81.38+U2/56.077+V2/61.979+W2/94.196+AJ2/18.015+N2/159.69),
IF((CH2="mol % oxide Fe2O3"),R2/40.304*100/(J2/60.084+K2/79.866+L2/101.961+M2/151.99+O2/71.844+N2/159.69+Q2/70.937+R2/40.304+S2/74.693+T2/81.38+U2/56.077+V2/61.979+W2/94.196+AJ2/18.015),
IF((CH2="mineral oxide O2"),BR2,
IF((CH2=""),"",
)))))</f>
        <v>49.338999188449044</v>
      </c>
      <c r="CP2" s="81">
        <f>IF((CH2="mol % oxide O2"),S2/74.693*100/(J2/60.084+K2/79.866+L2/101.961+M2/151.99+O2/71.844+2*N2/159.69+Q2/70.937+R2/40.304+S2/74.693+T2/81.38+U2/56.077+V2/61.979+W2/94.196+AJ2/18.015+1/2*N2/159.69),
IF((CH2="mol % oxide O"),S2/74.693*100/(J2/60.084+K2/79.866+L2/101.961+M2/151.99+O2/71.844+2*N2/159.69+Q2/70.937+R2/40.304+S2/74.693+T2/81.38+U2/56.077+V2/61.979+W2/94.196+AJ2/18.015+N2/159.69),
IF((CH2="mol % oxide Fe2O3"),S2/74.693*100/(J2/60.084+K2/79.866+L2/101.961+M2/151.99+O2/71.844+N2/159.69+Q2/70.937+R2/40.304+S2/74.693+T2/81.38+U2/56.077+V2/61.979+W2/94.196+AJ2/18.015),
IF((CH2="mineral oxide O2"),BS2,
IF((CH2=""),"",
)))))</f>
        <v>0</v>
      </c>
      <c r="CQ2" s="81">
        <f>IF((CH2="mol % oxide O2"),T2/81.38*100/(J2/60.084+K2/79.866+L2/101.961+M2/151.99+O2/71.844+2*N2/159.69+Q2/70.937+R2/40.304+S2/74.693+T2/81.38+U2/56.077+V2/61.979+W2/94.196+AJ2/18.015+1/2*N2/159.69),
IF((CH2="mol % oxide O"),T2/81.38*100/(J2/60.084+K2/79.866+L2/101.961+M2/151.99+O2/71.844+2*N2/159.69+Q2/70.937+R2/40.304+S2/74.693+T2/81.38+U2/56.077+V2/61.979+W2/94.196+AJ2/18.015+N2/159.69),
IF((CH2="mol % oxide Fe2O3"),T2/81.38*100/(J2/60.084+K2/79.866+L2/101.961+M2/151.99+O2/71.844+N2/159.69+Q2/70.937+R2/40.304+S2/74.693+T2/81.38+U2/56.077+V2/61.979+W2/94.196+AJ2/18.015),
IF((CH2="mineral oxide O2"),BT2,
IF((CH2=""),"",
)))))</f>
        <v>0</v>
      </c>
      <c r="CR2" s="81">
        <f>IF((CH2="mol % oxide O2"),U2/56.077*100/(J2/60.084+K2/79.866+L2/101.961+M2/151.99+O2/71.844+2*N2/159.69+Q2/70.937+R2/40.304+S2/74.693+T2/81.38+U2/56.077+V2/61.979+W2/94.196+AJ2/18.015+1/2*N2/159.69),
IF((CH2="mol % oxide O"),U2/56.077*100/(J2/60.084+K2/79.866+L2/101.961+M2/151.99+O2/71.844+2*N2/159.69+Q2/70.937+R2/40.304+S2/74.693+T2/81.38+U2/56.077+V2/61.979+W2/94.196+AJ2/18.015+N2/159.69),
IF((CH2="mol % oxide Fe2O3"),U2/56.077*100/(J2/60.084+K2/79.866+L2/101.961+M2/151.99+O2/71.844+N2/159.69+Q2/70.937+R2/40.304+S2/74.693+T2/81.38+U2/56.077+V2/61.979+W2/94.196+AJ2/18.015),
IF((CH2="mineral oxide O2"),BU2,
IF((CH2=""),"",
)))))</f>
        <v>3.2473647780796213</v>
      </c>
      <c r="CS2" s="81">
        <f>IF((CH2="mol % oxide O2"),V2/61.979*100/(J2/60.084+K2/79.866+L2/101.961+M2/151.99+O2/71.844+2*N2/159.69+Q2/70.937+R2/40.304+S2/74.693+T2/81.38+U2/56.077+V2/61.979+W2/94.196+AJ2/18.015+1/2*N2/159.69),
IF((CH2="mol % oxide O"),V2/61.979*100/(J2/60.084+K2/79.866+L2/101.961+M2/151.99+O2/71.844+2*N2/159.69+Q2/70.937+R2/40.304+S2/74.693+T2/81.38+U2/56.077+V2/61.979+W2/94.196+AJ2/18.015+N2/159.69),
IF((CH2="mol % oxide Fe2O3"),V2/61.979*100/(J2/60.084+K2/79.866+L2/101.961+M2/151.99+O2/71.844+N2/159.69+Q2/70.937+R2/40.304+S2/74.693+T2/81.38+U2/56.077+V2/61.979+W2/94.196+AJ2/18.015),
IF((CH2="mineral oxide O2"),BV2/2,
IF((CH2=""),"",
)))))</f>
        <v>0.24344521140343647</v>
      </c>
      <c r="CT2" s="81">
        <f>IF((CH2="mol % oxide O2"),W2/94.196*100/(J2/60.084+K2/79.866+L2/101.961+M2/151.99+O2/71.844+2*N2/159.69+Q2/70.937+R2/40.304+S2/74.693+T2/81.38+U2/56.077+V2/61.979+W2/94.196+AJ2/18.015+1/2*N2/159.69),
IF((CH2="mol % oxide O"),W2/94.196*100/(J2/60.084+K2/79.866+L2/101.961+M2/151.99+O2/71.844+2*N2/159.69+Q2/70.937+R2/40.304+S2/74.693+T2/81.38+U2/56.077+V2/61.979+W2/94.196+AJ2/18.015+N2/159.69),
IF((CH2="mol % oxide Fe2O3"),W2/94.196*100/(J2/60.084+K2/79.866+L2/101.961+M2/151.99+O2/71.844+N2/159.69+Q2/70.937+R2/40.304+S2/74.693+T2/81.38+U2/56.077+V2/61.979+W2/94.196+AJ2/18.015),
IF((CH2="mineral oxide O2"),BW2/2,
IF((CH2=""),"",
)))))</f>
        <v>0</v>
      </c>
      <c r="CU2" s="81">
        <f>IF((CH2="mol % oxide O2"),X2/141.943*100/(J2/60.084+K2/79.866+L2/101.961+M2/151.99+O2/71.844+2*N2/159.69+Q2/70.937+R2/40.304+S2/74.693+T2/81.38+U2/56.077+V2/61.979+W2/94.196+AJ2/18.015+1/2*N2/159.69),
IF((CH2="mol % oxide O"),X2/141.943*100/(J2/60.084+K2/79.866+L2/101.961+M2/151.99+O2/71.844+2*N2/159.69+Q2/70.937+R2/40.304+S2/74.693+T2/81.38+U2/56.077+V2/61.979+W2/94.196+AJ2/18.015+N2/159.69),
IF((CH2="mol % oxide Fe2O3"),X2/141.943*100/(J2/60.084+K2/79.866+L2/101.961+M2/151.99+O2/71.844+N2/159.69+Q2/70.937+R2/40.304+S2/74.693+T2/81.38+U2/56.077+V2/61.979+W2/94.196+AJ2/18.015),
IF((CH2="mineral oxide O2"),BX2/2,
IF((CH2=""),"",
)))))</f>
        <v>0</v>
      </c>
      <c r="CV2" s="81">
        <f>IF((CH2="mol % oxide O2"),AK2/44.01*100/(J2/60.084+K2/79.866+L2/101.961+M2/151.99+O2/71.844+2*N2/159.69+Q2/70.937+R2/40.304+S2/74.693+T2/81.38+U2/56.077+V2/61.979+W2/94.196+AJ2/18.015+1/2*N2/159.69+AK2/44.01+Y2/80.06/2+Z2/20/2+AA2/2/35.453),
IF((CH2="mol % oxide O"),AK2/44.01*100/(J2/60.084+K2/79.866+L2/101.961+M2/151.99+O2/71.844+2*N2/159.69+Q2/70.937+R2/40.304+S2/74.693+T2/81.38+U2/56.077+V2/61.979+W2/94.196+AJ2/18.015+N2/159.69+AK2/44.01+Y2/80.06/2+Z2/20/2+AA2/2/35.453),
IF((CH2="mol % oxide Fe2O3"),AK2/44.01*100/(J2/60.084+K2/79.866+L2/101.961+M2/151.99+O2/71.844+N2/159.69+Q2/70.937+R2/40.304+S2/74.693+T2/81.38+U2/56.077+V2/61.979+W2/94.196+AJ2/18.015+AK2/44.01+Y2/80.06/2+Z2/20/2+AA2/2/35.453),
IF((CH2="mineral oxide O2"),BY2,
IF((CH2=""),"",
)))))</f>
        <v>0</v>
      </c>
      <c r="CW2" s="81">
        <f>IF((CH2="mol % oxide O2"),Y2/80.06/2*100/(J2/60.084+K2/79.866+L2/101.961+M2/151.99+O2/71.844+2*N2/159.69+Q2/70.937+R2/40.304+S2/74.693+T2/81.38+U2/56.077+V2/61.979+W2/94.196+AJ2/18.015+1/2*N2/159.69+AK2/44.01+Y2/80.06/2+Z2/20/2+AA2/2/35.453),
IF((CH2="mol % oxide O"),Y2/80.06/2*100/(J2/60.084+K2/79.866+L2/101.961+M2/151.99+O2/71.844+2*N2/159.69+Q2/70.937+R2/40.304+S2/74.693+T2/81.38+U2/56.077+V2/61.979+W2/94.196+AJ2/18.015+N2/159.69+AK2/44.01+Y2/80.06/2+Z2/20/2+AA2/2/35.453),
IF((CH2="mol % oxide Fe2O3"),Y2/80.06/2*100/(J2/60.084+K2/79.866+L2/101.961+M2/151.99+O2/71.844+N2/159.69+Q2/70.937+R2/40.304+S2/74.693+T2/81.38+U2/56.077+V2/61.979+W2/94.196+AJ2/18.015+AK2/44.01+Y2/80.06/2+Z2/20/2+AA2/2/35.453),
IF((CH2="mineral oxide O2"),BY2,
IF((CH2=""),"",
)))))</f>
        <v>0</v>
      </c>
      <c r="CX2" s="81">
        <f>IF((CH2="mol % oxide O2"),Z2/2/20*100/(J2/60.084+K2/79.866+L2/101.961+M2/151.99+O2/71.844+2*N2/159.69+Q2/70.937+R2/40.304+S2/74.693+T2/81.38+U2/56.077+V2/61.979+W2/94.196+AJ2/18.015+1/2*N2/159.69+AK2/44.01+Y2/80.06/2+Z2/20/2+AA2/2/35.453),
IF((CH2="mol % oxide O"),Z2/2/20*100/(J2/60.084+K2/79.866+L2/101.961+M2/151.99+O2/71.844+2*N2/159.69+Q2/70.937+R2/40.304+S2/74.693+T2/81.38+U2/56.077+V2/61.979+W2/94.196+AJ2/18.015+N2/159.69+AK2/44.01+Y2/80.06/2+Z2/20/2+AA2/2/35.453),
IF((CH2="mol % oxide Fe2O3"),Z2/2/20*100/(J2/60.084+K2/79.866+L2/101.961+M2/151.99+O2/71.844+N2/159.69+Q2/70.937+R2/40.304+S2/74.693+T2/81.38+U2/56.077+V2/61.979+W2/94.196+AJ2/18.015+AK2/44.01+Y2/80.06/2+Z2/20/2+AA2/2/35.453),
IF((CH2="mineral oxide O2"),CA2,
IF((CH2=""),"",
)))))</f>
        <v>0</v>
      </c>
      <c r="CY2" s="81">
        <f>IF((CH2="mol % oxide O2"),AA2/2/35.453*100/(J2/60.084+K2/79.866+L2/101.961+M2/151.99+O2/71.844+2*N2/159.69+Q2/70.937+R2/40.304+S2/74.693+T2/81.38+U2/56.077+V2/61.979+W2/94.196+AJ2/18.015+1/2*N2/159.69+AK2/44.01+Y2/80.06/2+Z2/20/2+AA2/2/35.453),
IF((CH2="mol % oxide O"),AA2/2/35.453*100/(J2/60.084+K2/79.866+L2/101.961+M2/151.99+O2/71.844+2*N2/159.69+Q2/70.937+R2/40.304+S2/74.693+T2/81.38+U2/56.077+V2/61.979+W2/94.196+AJ2/18.015+N2/159.69+AK2/44.01+Y2/80.06/2+Z2/20/2+AA2/2/35.453),
IF((CH2="mol % oxide Fe2O3"),AA2/2/35.453*100/(J2/60.084+K2/79.866+L2/101.961+M2/151.99+O2/71.844+N2/159.69+Q2/70.937+R2/40.304+S2/74.693+T2/81.38+U2/56.077+V2/61.979+W2/94.196+AJ2/18.015+AK2/44.01+Y2/80.06/2+Z2/20/2+AA2/2/35.453),
IF((CH2="mineral oxide O2"),CB2,
IF((CH2=""),"",
)))))</f>
        <v>0</v>
      </c>
      <c r="CZ2" s="81">
        <f>IF((CH2="mol % oxide O2"),AJ2/18.015*100/(J2/60.084+K2/79.866+L2/101.961+M2/151.99+O2/71.844+2*N2/159.69+Q2/70.937+R2/40.304+S2/74.693+T2/81.38+U2/56.077+V2/61.979+W2/94.196+AJ2/18.015+1/2*N2/159.69),
IF((CH2="mol % oxide O"),AJ2/18.015*100/(J2/60.084+K2/79.866+L2/101.961+M2/151.99+O2/71.844+2*N2/159.69+Q2/70.937+R2/40.304+S2/74.693+T2/81.38+U2/56.077+V2/61.979+W2/94.196+AJ2/18.015+N2/159.69),
IF((CH2="mol % oxide Fe2O3"),AJ2/18.015*100/(J2/60.084+K2/79.866+L2/101.961+M2/151.99+O2/71.844+N2/159.69+Q2/70.937+R2/40.304+S2/74.693+T2/81.38+U2/56.077+V2/61.979+W2/94.196+AJ2/18.015),
IF((CH2="mineral oxide O2"),CC2,
IF((CH2=""),"",
)))))</f>
        <v>0</v>
      </c>
      <c r="DA2" s="81">
        <f>IF((CH2="mol % oxide O2"),1/2*N2/159.69*100/(J2/60.084+K2/79.866+L2/101.961+M2/151.99+O2/71.844+2*N2/159.69+Q2/70.937+R2/40.304+S2/74.693+T2/81.38+U2/56.077+V2/61.979+W2/94.196+AJ2/18.015+1/2*N2/159.69),
IF((CH2="mol % oxide O"),N2/159.69*100/(J2/60.084+K2/79.866+L2/101.961+M2/151.99+O2/71.844+2*N2/159.69+Q2/70.937+R2/40.304+S2/74.693+T2/81.38+U2/56.077+V2/61.979+W2/94.196+AJ2/18.015+N2/159.69),
IF((CH2="mol % oxide Fe2O3"),N2/159.69*100/(J2/60.084+K2/79.866+L2/101.961+M2/151.99+O2/71.844+N2/159.69+Q2/70.937+R2/40.304+S2/74.693+T2/81.38+U2/56.077+V2/61.979+W2/94.196+AJ2/18.015),
IF((CH2="mineral oxide O2"),BP2*1/4,
IF((CH2=""),"",
)))))</f>
        <v>5.0501209615697366E-2</v>
      </c>
      <c r="DB2" s="81"/>
      <c r="DC2" s="67" t="s">
        <v>280</v>
      </c>
      <c r="DD2" s="60">
        <f>BK2*2</f>
        <v>14.978191886049915</v>
      </c>
      <c r="DE2" s="60">
        <f>BL2*2</f>
        <v>3.261731960602493E-2</v>
      </c>
      <c r="DF2" s="67">
        <f>BM2*3/2</f>
        <v>1.2619675111378461</v>
      </c>
      <c r="DG2" s="67">
        <f>BN2*3/2</f>
        <v>7.3184808566441384E-2</v>
      </c>
      <c r="DH2" s="94" t="e">
        <f>BO2+BP2</f>
        <v>#VALUE!</v>
      </c>
      <c r="DI2" s="94">
        <f t="shared" ref="DI2:DO3" si="0">BQ2</f>
        <v>0</v>
      </c>
      <c r="DJ2" s="95">
        <f t="shared" si="0"/>
        <v>9.5038290086601211</v>
      </c>
      <c r="DK2" s="94">
        <f t="shared" si="0"/>
        <v>0</v>
      </c>
      <c r="DL2" s="94">
        <f t="shared" si="0"/>
        <v>0</v>
      </c>
      <c r="DM2" s="94">
        <f t="shared" si="0"/>
        <v>0.6254218023326874</v>
      </c>
      <c r="DN2" s="94">
        <f t="shared" si="0"/>
        <v>9.377550228826774E-2</v>
      </c>
      <c r="DO2" s="94">
        <f t="shared" si="0"/>
        <v>0</v>
      </c>
      <c r="DP2" s="94">
        <f>BX2*5/2</f>
        <v>0</v>
      </c>
      <c r="DQ2" s="94">
        <f>CC2</f>
        <v>0</v>
      </c>
      <c r="DR2" s="94">
        <f>CD2*2</f>
        <v>27.667037132763028</v>
      </c>
    </row>
    <row r="3" spans="1:122" ht="16" customHeight="1">
      <c r="B3" s="67" t="s">
        <v>310</v>
      </c>
      <c r="C3" s="57" t="s">
        <v>312</v>
      </c>
      <c r="D3" s="67" t="s">
        <v>311</v>
      </c>
      <c r="F3" s="67" t="s">
        <v>315</v>
      </c>
      <c r="J3" s="39">
        <v>44.9</v>
      </c>
      <c r="K3" s="39">
        <v>0.13</v>
      </c>
      <c r="L3" s="39">
        <v>4.28</v>
      </c>
      <c r="M3" s="39">
        <v>0.37</v>
      </c>
      <c r="N3" s="58">
        <v>0.31</v>
      </c>
      <c r="O3" s="59">
        <v>7.79</v>
      </c>
      <c r="P3" s="60">
        <f>N3*1/((159.69/71.844)/2)+O3</f>
        <v>8.0689359383806121</v>
      </c>
      <c r="R3" s="39">
        <v>38.22</v>
      </c>
      <c r="U3" s="60">
        <v>3.5</v>
      </c>
      <c r="V3" s="60">
        <v>0.28999999999999998</v>
      </c>
      <c r="W3" s="60">
        <v>0</v>
      </c>
      <c r="X3" s="60"/>
      <c r="Y3" s="60"/>
      <c r="Z3" s="60"/>
      <c r="AA3" s="60"/>
      <c r="AB3" s="60">
        <v>0.05</v>
      </c>
      <c r="AD3" s="86">
        <v>0</v>
      </c>
      <c r="AE3" s="86">
        <v>0</v>
      </c>
      <c r="AF3" s="86">
        <v>100</v>
      </c>
      <c r="AG3" s="86"/>
      <c r="AH3" s="71">
        <f>IF(O3&lt;&gt;"",2*N3/159.69/(P3/71.844),0)</f>
        <v>3.4569110538333662E-2</v>
      </c>
      <c r="AJ3" s="97">
        <v>0.1</v>
      </c>
      <c r="AQ3" s="60">
        <f>AB3-O3*0.111+AN3/10000*0.7484 +AO3/10000*0.3742</f>
        <v>-0.81469000000000003</v>
      </c>
      <c r="AR3" s="124">
        <f>IF(O3&lt;&gt;"",SUM(R3,J3,L3,Q3,O3,N3,S3,T3,U3,K3,M3,AI3,AK3,V3,W3,Z3,AA3,AD3,AE3,Y3,X3),
IF(O3="",SUM(R3,J3,L3,Q3,P3,S3,T3,U3,K3,M3,AI3,AK3,V3,W3,Z3,AA3,AD3,AE3,Y3,X3),
))</f>
        <v>99.79000000000002</v>
      </c>
      <c r="AS3" s="126"/>
      <c r="AT3" s="126"/>
      <c r="AU3" s="140">
        <f>AL3</f>
        <v>0</v>
      </c>
      <c r="AV3" s="140">
        <f>AK3*(12.011/(12.011+2*15.999))*100/AR3</f>
        <v>0</v>
      </c>
      <c r="AW3" s="140">
        <f>IF(O3="",P3*(55.845/(55.845+15.999))*100/AR3,O3*(55.845/(55.845+15.999))*100/AR3)</f>
        <v>6.0679811937790245</v>
      </c>
      <c r="AX3" s="140">
        <f>N3*(2*55.845/(2*55.845+3*15.999))*100/AR3</f>
        <v>0.21727982367209425</v>
      </c>
      <c r="AY3" s="140">
        <f>AN3/10000*100/AR3</f>
        <v>0</v>
      </c>
      <c r="AZ3" s="140">
        <f>AO3/10000*100/AR3</f>
        <v>0</v>
      </c>
      <c r="BA3" s="140">
        <f>AP3/10000*100/AR3</f>
        <v>0</v>
      </c>
      <c r="BB3" s="126"/>
      <c r="BC3" s="68" t="s">
        <v>146</v>
      </c>
      <c r="BD3" s="124"/>
      <c r="BE3" s="96" t="s">
        <v>302</v>
      </c>
      <c r="BF3" s="124"/>
      <c r="BG3" s="50" t="str">
        <f>IF(AND(BE3="Anions",BC3="Amph"),23,
IF(AND(BE3="Cations",BC3="Amph"),CF3,
IF(AND(BE3="Anions",BC3="Mica"),11,
IF(AND(BE3="Cations",BC3="Mica"),CF3,
IF(AND(BE3="Anions",BC3="Ti-Chu"),17.5,
IF(AND(BE3="Cations",BC3="Ti-Chu"),CF3,
IF(AND(BE3="Anions",BC3="F-Ph"),11.5,
IF(AND(BE3="Cations",BC3="F-Ph"),CF3,
IF(AND(BE3="Anions",BC3="Pl"),8,
IF(AND(BE3="Cations",BC3="Pl"),CF3,
IF(AND(BE3="Anions",BC3="Dol"),2,
IF(AND(BE3="Cations",BC3="Dol"),CF3,
IF(AND(BE3="Anions",BC3="Cb"),1,
IF(AND(BE3="Cations",BC3="Cb"),CF3,
IF(AND(BE3="Anions",BC3="Br"),1,
IF(AND(BE3="Cations",BC3="Br"),CF3,
IF(AND(BE3="Anions",BC3="Liz"),7,
IF(AND(BE3="Cations",BC3="Liz"),CF3,
IF(AND(BE3="Anions",BC3="Ep"),12.5,
IF(AND(BE3="Cations",BC3="Ep"),CF3,
IF(AND(BE3="Anions",BC3="Chum"),17,
IF(AND(BE3="Cations",BC3="Chum"),CF3,
IF(AND(BE3="Anions",BC3="Ol"),4,
IF(AND(BE3="Cations",BC3="Ol"),CF3,
IF(AND(BE3="Anions",BC3="Opx"),6,
IF(AND(BE3="Cations",BC3="Opx"),CF3,
IF(AND(BE3="Anions",BC3="Tlc"),11,
IF(AND(BE3="Cations",BC3="Tlc"),CF3,
IF(AND(BE3="Anions",BC3="Tr"),23,
IF(AND(BE3="Cations",BC3="Tr"),CF3,
IF(AND(BE3="Anions",BC3="Atg"),6.824,
IF(AND(BE3="Cations",BC3="Atg"),CF3,
IF(AND(BE3="Anions",BC3="Chl"),14,
IF(AND(BE3="Cations",BC3="Chl"),CF3,
IF(AND(BE3="Anions",BC3="Cpx"),6,
IF(AND(BE3="Cations",BC3="Cpx"),CF3,
IF(AND(BE3="both",BC3="Cpx"),6,
IF(AND(BE3="Anions",BC3="Grt"),12,
IF(AND(BE3="Cations",BC3="Grt"),CF3,
IF(AND(BE3="both",BC3="Grt"),12,
IF(AND(BE3="Anions",BC3="Mag"),4,
IF(AND(BE3="Cations",BC3="Mag"),CF3,
IF(AND(BE3="both",BC3="Mag"),4,
IF(AND(BE3="Anions",BC3="Ti-Cho"),9.5,
IF(AND(BE3="Cations",BC3="Ti-Cho"),CF3,
IF(AND(BE3="Anions",BC3="Ilv"),8.5,
IF(AND(BE3="Cations",BC3="Ilv"),CF3,
IF(AND(BE3="both",BC3="Ilv"),8.5,
IF(AND(BE3="Anions",BC3="Hem"),3,
IF(AND(BE3="Cations",BC3="Hem"),CF3,
IF(AND(BE3="both",BC3="Hem"),3,
IF(AND(BE3="Anions",BC3="WR"),100,
IF(AND(BE3="mol/kg",BC3="WR"),"",
IF(AND(BE3="Cations",BC3="WR"),CF3
)))))))))))))))))))))))))))))))))))))))))))))))))))
)))</f>
        <v/>
      </c>
      <c r="BH3" s="50" t="str">
        <f>IF(AND(BE3="Anions",BC3="Amph"),CE3,
IF(AND(BE3="Cations",BC3="Amph"),15,
IF(AND(BE3="Anions",BC3="Mica"),CE3,
IF(AND(BE3="Cations",BC3="Mica"),7,
IF(AND(BE3="Anions",BC3="Ti-Chu"),CE3,
IF(AND(BE3="Cations",BC3="Ti-Chu"),13,
IF(AND(BE3="Anions",BC3="F-Ph"),CE3,
IF(AND(BE3="Cations",BC3="F-Ph"),8,
IF(AND(BE3="Anions",BC3="Pl"),CE3,
IF(AND(BE3="Cations",BC3="Pl"),5,
IF(AND(BE3="Anions",BC3="Dol"),CE3,
IF(AND(BE3="Cations",BC3="Dol"),2,
IF(AND(BE3="Anions",BC3="Cb"),CE3,
IF(AND(BE3="Cations",BC3="Cb"),1,
IF(AND(BE3="Anions",BC3="Br"),CE3,
IF(AND(BE3="Cations",BC3="Br"),1,
IF(AND(BE3="Anions",BC3="Liz"),CE3,
IF(AND(BE3="Cations",BC3="Liz"),5,
IF(AND(BE3="Anions",BC3="Ep"),CE3,
IF(AND(BE3="Cations",BC3="Ep"),8,
IF(AND(BE3="Anions",BC3="Chum"),CE3,
IF(AND(BE3="Cations",BC3="Chum"),13,
IF(AND(BE3="Anions",BC3="Ol"),CE3,
IF(AND(BE3="Cations",BC3="Ol"),3,
IF(AND(BE3="Anions",BC3="Opx"),CE3,
IF(AND(BE3="Cations",BC3="Opx"),4,
IF(AND(BE3="Anions",BC3="Tlc"),CE3,
IF(AND(BE3="Cations",BC3="Tlc"),7,
IF(AND(BE3="Anions",BC3="Tr"),CE3,
IF(AND(BE3="Cations",BC3="Tr"),15,
IF(AND(BE3="Anions",BC3="Atg"),CE3,
IF(AND(BE3="Cations",BC3="Atg"),4.825,
IF(AND(BE3="Anions",BC3="Chl"),CE3,
IF(AND(BE3="Cations",BC3="Chl"),10,
IF(AND(BE3="Anions",BC3="Cpx"),CE3,
IF(AND(BE3="Cations",BC3="Cpx"),4,
IF(AND(BE3="both",BC3="Cpx"),4,
IF(AND(BE3="Anions",BC3="Grt"),CE3,
IF(AND(BE3="Cations",BC3="Grt"),8,
IF(AND(BE3="both",BC3="Grt"),8,
IF(AND(BE3="Anions",BC3="Mag"),CE3,
IF(AND(BE3="Cations",BC3="Mag"),3,
IF(AND(BE3="both",BC3="Mag"),3,
IF(AND(BE3="Anions",BC3="Ti-Cho"),CE3,
IF(AND(BE3="Cations",BC3="Ti-Cho"),7,
IF(AND(BE3="Anions",BC3="Ilv"),CE3,
IF(AND(BE3="Cations",BC3="Ilv"),6,
IF(AND(BE3="both",BC3="Ilv"),6,
IF(AND(BE3="Anions",BC3="Hem"),CE3,
IF(AND(BE3="Cations",BC3="Hem"),2,
IF(AND(BE3="both",BC3="Hem"),2,
IF(AND(BE3="Anions",BC3="WR"),CE3,
IF(AND(BE3="mol/kg",BC3="WR"),"",
IF(AND(BE3="Cations",BC3="WR"),100,
))))))))))))))))))))))))))))))))))))))))))))))))
))))))</f>
        <v/>
      </c>
      <c r="BI3" s="51"/>
      <c r="BJ3" s="12"/>
      <c r="BK3" s="76">
        <f>IF(AND(O3&lt;&gt;"",BE3="Anions"),J3/60.08*BG3/(J3*2/60.08+K3*2/79.88+L3*3/101.96+M3*3/151.99+N3*3/159.69+O3/71.85+Q3/70.94+R3/40.3+S3/74.69+T3/81.38+U3/56.08+V3/61.98+W3/94.2+X3*5/141.944522+Y3*3/80.06+Z3/18.9984+AA3/35.453+AK3/44.01*2-AU3/12.011-AY3/32.065-2*AZ3/32.065+BA3*3/32.065+AJ3/18.01528),
IF(AND(O3&lt;&gt;"",BE3="mol/kg"),J3/60.08*10*100/AR3,
IF(AND(O3="",BE3="mol/kg"),J3/60.08*10*100/AR3,
IF(AND(O3="",BE3="Anions"),J3/60.08*BG3/(J3*2/60.08+K3*2/79.88+L3*3/101.96+M3*3/151.99+N3*3/159.69+P3/71.85+Q3/70.94+R3/40.3+S3/74.69+T3/81.38+U3/56.08+V3/61.98+W3/94.2+X3*5/141.944522+Y3*3/80.06+Z3/18.9984+AA3/35.453+AK3/44.01*2-AU3/12.011-AY3/32.065-2*AZ3/32.065+BA3*3/32.065+AJ3/18.01528),
))))</f>
        <v>7.4890959430249575</v>
      </c>
      <c r="BL3" s="76">
        <f>IF(AND(O3&lt;&gt;"",BE3="Anions"),K3/79.88*BG3/(J3*2/60.08+K3*2/79.88+L3*3/101.96+M3*3/151.99+N3*3/159.69+O3/71.85+Q3/70.94+R3/40.3+S3/74.69+T3/81.38+U3/56.08+V3/61.98+W3/94.2+X3*5/141.944522+Y3*3/80.06+Z3/18.9984+AA3/35.453+AK3/44.01*2-AU3/12.011-AY3/32.065-2*AZ3/32.065+BA3*3/32.065+AJ3/18.01528),
IF(AND(O3&lt;&gt;"",BE3="mol/kg"),K3/79.88*10*100/AR3,
IF(AND(O3="",BE3="mol/kg"),K3/79.88*10*100/AR3,
IF(AND(O3="",BE3="Anions"),K3/79.88*BG3/(J3*2/60.08+K3*2/79.88+L3*3/101.96+M3*3/151.99+N3*3/159.69+P3/71.85+Q3/70.94+R3/40.3+S3/74.69+T3/81.38+U3/56.08+V3/61.98+W3/94.2+X3*5/141.944522+Y3*3/80.06+Z3/18.9984+AA3/35.453+AK3/44.01*2-AU3/12.011-AY3/32.065-2*AZ3/32.065+BA3*3/32.065+AJ3/18.01528),
))))</f>
        <v>1.6308659803012465E-2</v>
      </c>
      <c r="BM3" s="76">
        <f>IF(AND(O3&lt;&gt;"",BE3="Anions"),2*L3/101.96*BG3/(J3*2/60.08+K3*2/79.88+L3*3/101.96+M3*3/151.99+N3*3/159.69+O3/71.85+Q3/70.94+R3/40.3+S3/74.69+T3/81.38+U3/56.08+V3/61.98+W3/94.2+X3*5/141.944522+Y3*3/80.06+Z3/18.9984+AA3/35.453+AK3/44.01*2-AU3/12.011-AY3/32.065-2*AZ3/32.065+BA3*3/32.065+AJ3/18.01528),
IF(AND(O3&lt;&gt;"",BE3="mol/kg"),2*L3/101.96*10*100/AR3,
IF(AND(O3="",BE3="mol/kg"),2*L3/101.96*10*100/AR3,
IF(AND(O3="",BE3="Anions"),2*L3/101.96*BG3/(J3*2/60.08+K3*2/79.88+L3*3/101.96+M3*3/151.99+N3*3/159.69+P3/71.85+Q3/70.94+R3/40.3+S3/74.69+T3/81.38+U3/56.08+V3/61.98+W3/94.2+X3*5/141.944522+Y3*3/80.06+Z3/18.9984+AA3/35.453+AK3/44.01*2-AU3/12.011-AY3/32.065-2*AZ3/32.065+BA3*3/32.065+AJ3/18.01528),
))))</f>
        <v>0.84131167409189733</v>
      </c>
      <c r="BN3" s="76">
        <f>IF(AND(O3&lt;&gt;"",BE3="Anions"),2*M3/151.99*BG3/(J3*2/60.08+K3*2/79.88+L3*3/101.96+M3*3/151.99+N3*3/159.69+O3/71.85+Q3/70.94+R3/40.3+S3/74.69+T3/81.38+U3/56.08+V3/61.98+W3/94.2+X3*5/141.944522+Y3*3/80.06+Z3/18.9984+AA3/35.453+AK3/44.01*2-AU3/12.011-AY3/32.065-2*AZ3/32.065+BA3*3/32.065+AJ3/18.01528),
IF(AND(O3&lt;&gt;"",BE3="mol/kg"),2*M3/151.99*10*100/AR3,
IF(AND(O3="",BE3="mol/kg"),2*M3/151.99*10*100/AR3,
IF(AND(O3="",BE3="Anions"),2*M3/151.99*BG3/(J3*2/60.08+K3*2/79.88+L3*3/101.96+M3*3/151.99+N3*3/159.69+P3/71.85+Q3/70.94+R3/40.3+S3/74.69+T3/81.38+U3/56.08+V3/61.98+W3/94.2+X3*5/141.944522+Y3*3/80.06+Z3/18.9984+AA3/35.453+AK3/44.01*2-AU3/12.011-AY3/32.065-2*AZ3/32.065+BA3*3/32.065+AJ3/18.01528),
))))</f>
        <v>4.8789872377627587E-2</v>
      </c>
      <c r="BO3" s="76">
        <f>IF(AND(O3&lt;&gt;"",BE3="Anions"),O3/71.85*BG3/(J3*2/60.08+K3*2/79.88+L3*3/101.96+M3*3/151.99+N3*3/159.69+O3/71.85+Q3/70.94+R3/40.3+S3/74.69+T3/81.38+U3/56.08+V3/61.98+W3/94.2+X3*5/141.944522+Y3*3/80.06+Z3/18.9984+AA3/35.453+AK3/44.01*2-AU3/12.011-AY3/32.065-2*AZ3/32.065+BA3*3/32.065+AJ3/18.01528),
IF(AND(O3&lt;&gt;"",BE3="mol/kg"),(O3/71.85+N3*2/159.69)*10*100/AR3,
IF(AND(O3="",BE3="mol/kg"),(P3/71.85)*10*100/AR3,
IF(AND(O3="",BE3="Anions"),P3/71.85*BG3/(J3*2/60.08+K3*2/79.88+L3*3/101.96+M3*3/151.99+N3*3/159.69+P3/71.85+Q3/70.94+R3/40.3+S3/74.69+T3/81.38+U3/56.08+V3/61.98+W3/94.2+X3*5/141.944522+Y3*3/80.06+Z3/18.9984+AA3/35.453+AK3/44.01*2-AU3/12.011-AY3/32.065-2*AZ3/32.065+BA3*3/32.065+AJ3/18.01528),
))))</f>
        <v>1.1253917476547561</v>
      </c>
      <c r="BP3" s="77" t="str">
        <f>IF(AND(O3&lt;&gt;"",BE3="Anions"),N3*2/159.69*BG3/(J3*2/60.08+K3*2/79.88+L3*3/101.96+M3*3/151.99+N3*3/159.69+O3/71.85+Q3/70.94+R3/40.3+S3/74.69+T3/81.38+U3/56.08+V3/61.98+W3/94.2+X3*5/141.944522+Y3*3/80.06+Z3/18.9984+AA3/35.453+AK3/44.01*2-AU3/12.011-AY3/32.065-2*AZ3/32.065+BA3*3/32.065+AJ3/18.01528),
IF(AND(O3&lt;&gt;"",BE3="mol/kg"),"-",
IF(AND(O3="",BE3="mol/kg"),"-",
IF(AND(O3="",BE3="Anions"),N3*2/159.69*BG3/(J3*2/60.08+K3*2/79.88+L3*3/101.96+M3*3/151.99+N3*3/159.69+P3/71.85+Q3/70.94+R3/40.3+S3/74.69+T3/81.38+U3/56.08+V3/61.98+W3/94.2+X3*5/141.944522+Y3*3/80.06+Z3/18.9984+AA3/35.453+AK3/44.01*2-AU3/12.011-AY3/32.065-2*AZ3/32.065+BA3*3/32.065+AJ3/18.01528),
))))</f>
        <v>-</v>
      </c>
      <c r="BQ3" s="76">
        <f>IF(AND(O3&lt;&gt;"",BE3="Anions"),Q3/70.94*BG3/(J3*2/60.08+K3*2/79.88+L3*3/101.96+M3*3/151.99+N3*3/159.69+O3/71.85+Q3/70.94+R3/40.3+S3/74.69+T3/81.38+U3/56.08+V3/61.98+W3/94.2+X3*5/141.944522+Y3*3/80.06+Z3/18.9984+AA3/35.453+AK3/44.01*2-AU3/12.011-AY3/32.065-2*AZ3/32.065+BA3*3/32.065+AJ3/18.01528),
IF(AND(O3&lt;&gt;"",BE3="mol/kg"),Q3/70.94*10*100/AR3,
IF(AND(O3="",BE3="mol/kg"),Q3/70.94*10*100/AR3,
IF(AND(O3="",BE3="Anions"),Q3/70.94*BG3/(J3*2/60.08+K3*2/79.88+L3*3/101.96+M3*3/151.99+N3*3/159.69+P3/71.85+Q3/70.94+R3/40.3+S3/74.69+T3/81.38+U3/56.08+V3/61.98+W3/94.2+X3*5/141.944522+Y3*3/80.06+Z3/18.9984+AA3/35.453+AK3/44.01*2-AU3/12.011-AY3/32.065-2*AZ3/32.065+BA3*3/32.065+AJ3/18.01528),
))))</f>
        <v>0</v>
      </c>
      <c r="BR3" s="76">
        <f>IF(AND(O3&lt;&gt;"",BE3="Anions"),R3/40.3*BG3/(J3*2/60.08+K3*2/79.88+L3*3/101.96+M3*3/151.99+N3*3/159.69+O3/71.85+Q3/70.94+R3/40.3+S3/74.69+T3/81.38+U3/56.08+V3/61.98+W3/94.2+X3*5/141.944522+Y3*3/80.06+Z3/18.9984+AA3/35.453+AK3/44.01*2-AU3/12.011-AY3/32.065-2*AZ3/32.065+BA3*3/32.065+AJ3/18.01528),
IF(AND(O3&lt;&gt;"",BE3="mol/kg"),R3/40.3*10*100/AR3,
IF(AND(O3="",BE3="mol/kg"),R3/40.3*10*100/AR3,
IF(AND(O3="",BE3="Anions"),R3/40.3*BG3/(J3*2/60.08+K3*2/79.88+L3*3/101.96+M3*3/151.99+N3*3/159.69+P3/71.85+Q3/70.94+R3/40.3+S3/74.69+T3/81.38+U3/56.08+V3/61.98+W3/94.2+X3*5/141.944522+Y3*3/80.06+Z3/18.9984+AA3/35.453+AK3/44.01*2-AU3/12.011-AY3/32.065-2*AY3/32.065+AY3*3/32.065+AJ3/18.01528),
))))</f>
        <v>9.5038290086601211</v>
      </c>
      <c r="BS3" s="76">
        <f>IF(AND(O3&lt;&gt;"",BE3="Anions"),S3/74.69*BG3/(J3*2/60.08+K3*2/79.88+L3*3/101.96+M3*3/151.99+N3*3/159.69+O3/71.85+Q3/70.94+R3/40.3+S3/74.69+T3/81.38+U3/56.08+V3/61.98+W3/94.2+X3*5/141.944522+Y3*3/80.06+Z3/18.9984+AA3/35.453+AK3/44.01*2-AU3/12.011-AY3/32.065-2*AZ3/32.065+BA3*3/32.065+AJ3/18.01528),
IF(AND(O3&lt;&gt;"",BE3="mol/kg"),S3/74.69*10*100/AR3,
IF(AND(O3="",BE3="mol/kg"),S3/74.69*10*100/AR3,
IF(AND(O3="",BE3="Anions"),S3/74.69*BG3/(J3*2/60.08+K3*2/79.88+L3*3/101.96+M3*3/151.99+N3*3/159.69+P3/71.85+Q3/70.94+R3/40.3+S3/74.69+T3/81.38+U3/56.08+V3/61.98+W3/94.2+X3*5/141.944522+Y3*3/80.06+Z3/18.9984+AA3/35.453+AK3/44.01*2-AU3/12.011-AY3/32.065-2*AZ3/32.065+BA3*3/32.065+AJ3/18.01528),
))))</f>
        <v>0</v>
      </c>
      <c r="BT3" s="76">
        <f>IF(AND(O3&lt;&gt;"",BE3="Anions"),T3/81.38*BG3/(J3*2/60.08+K3*2/79.88+L3*3/101.96+M3*3/151.99+N3*3/159.69+O3/71.85+Q3/70.94+R3/40.3+S3/74.69+T3/81.38+U3/56.08+V3/61.98+W3/94.2+X3*5/141.944522+Y3*3/80.06+Z3/18.9984+AA3/35.453+AK3/44.01*2-AU3/12.011-AY3/32.065-2*AZ3/32.065+BA3*3/32.065+AJ3/18.01528),
IF(AND(O3&lt;&gt;"",BE3="mol/kg"),T3/81.38*10*100/AR3,
IF(AND(O3="",BE3="mol/kg"),T3/81.38*10*100/AR3,
IF(AND(O3="",BE3="Anions"),T3/81.38*BG3/(J3*2/60.08+K3*2/79.88+L3*3/101.96+M3*3/151.99+N3*3/159.69+P3/71.85+Q3/70.94+R3/40.3+S3/74.69+T3/81.38+U3/56.08+V3/61.98+W3/94.2+X3*5/141.944522+Y3*3/80.06+Z3/18.9984+AA3/35.453+AK3/44.01*2-AU3/12.011-AY3/32.065-2*AZ3/32.065+BA3*3/32.065+AJ3/18.01528),
))))</f>
        <v>0</v>
      </c>
      <c r="BU3" s="76">
        <f>IF(AND(O3&lt;&gt;"",BE3="Anions"),U3/56.08*BG3/(J3*2/60.08+K3*2/79.88+L3*3/101.96+M3*3/151.99+N3*3/159.69+O3/71.85+Q3/70.94+R3/40.3+S3/74.69+T3/81.38+U3/56.08+V3/61.98+W3/94.2+X3*5/141.944522+Y3*3/80.06+Z3/18.9984+AA3/35.453+AK3/44.01*2-AU3/12.011-AY3/32.065-2*AZ3/32.065+BA3*3/32.065+AJ3/18.01528),
IF(AND(O3&lt;&gt;"",BE3="mol/kg"),U3/56.08*10*100/AR3,
IF(AND(O3="",BE3="mol/kg"),U3/56.08*10*100/AR3,
IF(AND(O3="",BE3="Anions"),U3/56.08*BG3/(J3*2/60.08+K3*2/79.88+L3*3/101.96+M3*3/151.99+N3*3/159.69+P3/71.85+Q3/70.94+R3/40.3+S3/74.69+T3/81.38+U3/56.08+V3/61.98+W3/94.2+X3*5/141.944522+Y3*3/80.06+Z3/18.9984+AA3/35.453+AK3/44.01*2-AU3/12.011-AY3/32.065-2*AY3/32.065+AY3*3/32.065+AJ3/18.01528),
))))</f>
        <v>0.6254218023326874</v>
      </c>
      <c r="BV3" s="76">
        <f>IF(AND(O3&lt;&gt;"",BE3="Anions"),2*V3/61.98*BG3/(J3*2/60.08+K3*2/79.88+L3*3/101.96+M3*3/151.99+N3*3/159.69+O3/71.85+Q3/70.94+R3/40.3+S3/74.69+T3/81.38+U3/56.08+V3/61.98+W3/94.2+X3*5/141.944522+Y3*3/80.06+Z3/18.9984+AA3/35.453+AK3/44.01*2-AU3/12.011-AY3/32.065-2*AZ3/32.065+BA3*3/32.065+AJ3/18.01528),
IF(AND(O3&lt;&gt;"",BE3="mol/kg"),2*V3/61.98*10*100/AR3,
IF(AND(O3="",BE3="mol/kg"),2*V3/61.98*10*100/AR3,
IF(AND(O3="",BE3="Anions"),2*V3/61.98*BG3/(J3*2/60.08+K3*2/79.88+L3*3/101.96+M3*3/151.99+N3*3/159.69+P3/71.85+Q3/70.94+R3/40.3+S3/74.69+T3/81.38+U3/56.08+V3/61.98+W3/94.2+X3*5/141.944522+Y3*3/80.06+Z3/18.9984+AA3/35.453+AK3/44.01*2-AU3/12.011-AY3/32.065-2*AZ3/32.065+BA3*3/32.065+AJ3/18.01528),
))))</f>
        <v>9.377550228826774E-2</v>
      </c>
      <c r="BW3" s="76">
        <f>IF(AND(O3&lt;&gt;"",BE3="Anions"),2*W3/94.2*BG3/(J3*2/60.08+K3*2/79.88+L3*3/101.96+M3*3/151.99+N3*3/159.69+O3/71.85+Q3/70.94+R3/40.3+S3/74.69+T3/81.38+U3/56.08+V3/61.98+W3/94.2+X3*5/141.944522+Y3*3/80.06+Z3/18.9984+AA3/35.453+AK3/44.01*2-AU3/12.011-AY3/32.065-2*AZ3/32.065+BA3*3/32.065+AJ3/18.01528),
IF(AND(O3&lt;&gt;"",BE3="mol/kg"),2*W3/94.2*10*100/AR3,
IF(AND(O3="",BE3="mol/kg"),2*W3/94.2*10*100/AR3,
IF(AND(O3="",BE3="Anions"),2*W3/94.2*BG3/(J3*2/60.08+K3*2/79.88+L3*3/101.96+M3*3/151.99+N3*3/159.69+P3/71.85+Q3/70.94+R3/40.3+S3/74.69+T3/81.38+U3/56.08+V3/61.98+W3/94.2+X3*5/141.944522+Y3*3/80.06+Z3/18.9984+AA3/35.453+AK3/44.01*2-AU3/12.011-AY3/32.065-2*AZ3/32.065+BA3*3/32.065+AJ3/18.01528),
))))</f>
        <v>0</v>
      </c>
      <c r="BX3" s="76">
        <f>IF(AND(O3&lt;&gt;"",BE3="Anions"),X3*2/141.944522*BG3/(J3*2/60.08+K3*2/79.88+L3*3/101.96+M3*3/151.99+N3*3/159.69+O3/71.85+Q3/70.94+R3/40.3+S3/74.69+T3/81.38+U3/56.08+V3/61.98+W3/94.2+X3*5/141.944522+Y3*3/80.06+Z3/18.9984+AA3/35.453+AK3/44.01*2-AU3/12.011-AY3/32.065-2*AZ3/32.065+BA3*3/32.065+AJ3/18.01528),
IF(AND(O3&lt;&gt;"",BE3="mol/kg"),X3*2/141.944522*10*100/AR3,
IF(AND(O3="",BE3="mol/kg"),X3*2/141.944522*10*100/AR3,
IF(AND(O3="",BE3="Anions"),X3*2/141.944522*BG3/(J3*2/60.08+K3*2/79.88+L3*3/101.96+M3*3/151.99+N3*3/159.69+P3/71.85+Q3/70.94+R3/40.3+S3/74.69+T3/81.38+U3/56.08+V3/61.98+W3/94.2+X3*5/141.944522+Y3*3/80.06+Z3/18.9984+AA3/35.453+AK3/44.01*2-AU3/12.011-AY3/32.065-2*AZ3/32.065+BA3*3/32.065+AJ3/18.01528),
))))</f>
        <v>0</v>
      </c>
      <c r="BY3" s="76">
        <f>IF(AND(O3&lt;&gt;"",BE3="Anions"),(AK3/44.01+AL3/12.011)*BG3/(J3*2/60.08+K3*2/79.88+L3*3/101.96+M3*3/151.99+N3*3/159.69+O3/71.85+Q3/70.94+R3/40.3+S3/74.69+T3/81.38+U3/56.08+V3/61.98+W3/94.2+X3*5/141.944522+Y3*3/80.06+Z3/18.9984+AA3/35.453+AK3/44.01*2-AU3/12.011-AY3/32.065-2*AZ3/32.065+BA3*3/32.065+AJ3/18.01528),
IF(AND(O3&lt;&gt;"",BE3="mol/kg"),(AK3*(12.011/(12.011+31.999))+AL3)/12.011*10*100/AR3,
IF(AND(O3="",BE3="mol/kg"),(AK3*(12.011/(12.011+31.999))+AL3)/12.011*10*100/AR3,
IF(AND(O3="",BE3="Anions"),(AK3/44.01+AL3/12.011)*BG3/(J3*2/60.08+K3*2/79.88+L3*3/101.96+M3*3/151.99+N3*3/159.69+P3/71.85+Q3/70.94+R3/40.3+S3/74.69+T3/81.38+U3/56.08+V3/61.98+W3/94.2+X3*5/141.944522+Y3*3/80.06+Z3/18.9984+AA3/35.453+AK3/44.01*2-AU3/12.011-AY3/32.065-2*AZ3/32.065+BA3*3/32.065+AJ3/18.01528),
))))</f>
        <v>0</v>
      </c>
      <c r="BZ3" s="76">
        <f>IF(AND(O3&lt;&gt;"",BE3="Anions"),Y3/32.06/2*BG3/(J3*2/60.08+K3*2/79.88+L3*3/101.96+M3*3/151.99+N3*3/159.69+O3/71.85+Q3/70.94+R3/40.3+S3/74.69+T3/81.38+U3/56.08+V3/61.98+W3/94.2+X3*5/141.944522+Y3*3/80.06+Z3/18.9984+AA3/35.453+AK3/44.01*2-AU3/12.011-AY3/32.065-2*AZ3/32.065+BA3*3/32.065+AJ3/18.01528),
IF(AND(O3&lt;&gt;"",BE3="mol/kg"),Y3/32.06/2*10*100/AR3,
IF(AND(O3="",BE3="mol/kg"),Y3/32.06/2*10*100/AR3,
IF(AND(O3="",BE3="Anions"),Y3/32.06/2*BG3/(J3*2/60.08+K3*2/79.88+L3*3/101.96+M3*3/151.99+N3*3/159.69+P3/71.85+Q3/70.94+R3/40.3+S3/74.69+T3/81.38+U3/56.08+V3/61.98+W3/94.2+X3*5/141.944522+Y3*3/80.06+Z3/18.9984+AA3/35.453+AK3/44.01*2-AU3/12.011-AY3/32.065-2*AZ3/32.065+BA3*3/32.065+AJ3/18.01528),
))))</f>
        <v>0</v>
      </c>
      <c r="CA3" s="78">
        <f>IF(AND(O3&lt;&gt;"",BE3="Anions"),Z3/18.9984*BG3/(J3*2/60.08+K3*2/79.88+L3*3/101.96+M3*3/151.99+N3*3/159.69+O3/71.85+Q3/70.94+R3/40.3+S3/74.69+T3/81.38+U3/56.08+V3/61.98+W3/94.2+X3*5/141.944522+Y3*3/80.06+Z3/18.9984+AA3/35.453+AK3/44.01*2-AU3/12.011-AY3/32.065-2*AZ3/32.065+BA3*3/32.065+AJ3/18.01528),
IF(AND(O3&lt;&gt;"",BE3="mol/kg"),Z3/18.9984*10*100/AR3,
IF(AND(O3="",BE3="mol/kg"),Z3/18.9984*10*100/AR3,
IF(AND(O3="",BE3="Anions"),Z3/18.9984*BG3/(J3*2/60.08+K3*2/79.88+L3*3/101.96+M3*3/151.99+N3*3/159.69+P3/71.85+Q3/70.94+R3/40.3+S3/74.69+T3/81.38+U3/56.08+V3/61.98+W3/94.2+X3*5/141.944522+Y3*3/80.06+Z3/18.9984+AA3/35.453+AK3/44.01*2-AU3/12.011-AY3/32.065-2*AZ3/32.065+BA3*3/32.065+AJ3/18.01528),
))))</f>
        <v>0</v>
      </c>
      <c r="CB3" s="76">
        <f>IF(AND(O3&lt;&gt;"",BE3="Anions"),AA3/35.453*BG3/(J3*2/60.08+K3*2/79.88+L3*3/101.96+M3*3/151.99+N3*3/159.69+O3/71.85+Q3/70.94+R3/40.3+S3/74.69+T3/81.38+U3/56.08+V3/61.98+W3/94.2+X3*5/141.944522+Y3*3/80.06+Z3/18.9984+AA3/35.453+AK3/44.01*2-AU3/12.011-AY3/32.065-2*AZ3/32.065+BA3*3/32.065+AJ3/18.01528),
IF(AND(O3&lt;&gt;"",BE3="mol/kg"),AA3/35.453*10*100/AR3,
IF(AND(O3="",BE3="mol/kg"),AA3/35.453*10*100/AR3,
IF(AND(O3="",BE3="Anions"),AA3/35.453*BG3/(J3*2/60.08+K3*2/79.88+L3*3/101.96+M3*3/151.99+N3*3/159.69+P3/71.85+Q3/70.94+R3/40.3+S3/74.69+T3/81.38+U3/56.08+V3/61.98+W3/94.2+X3*5/141.944522+Y3*3/80.06+Z3/18.9984+AA3/35.453+AK3/44.01*2-AU3/12.011-AY3/32.065-2*AZ3/32.065+BA3*3/32.065+AJ3/18.01528),
))))</f>
        <v>0</v>
      </c>
      <c r="CC3" s="76">
        <f>IF(AND(O3&lt;&gt;"",BE3="Anions"),AJ3/18.01528*BG3/(J3*2/60.08+K3*2/79.88+L3*3/101.96+M3*3/151.99+N3*3/159.69+O3/71.85+Q3/70.94+R3/40.3+S3/74.69+T3/81.38+U3/56.08+V3/61.98+W3/94.2+X3*5/141.944522+Y3*3/80.06+Z3/18.9984+AA3/35.453+AK3/44.01*2-AU3/12.011-AY3/32.065-2*AZ3/32.065+BA3*3/32.065+AJ3/18.01528),
IF(AND(O3&lt;&gt;"",BE3="mol/kg"),AJ3/18.01528*10*100/AR3,
IF(AND(O3="",BE3="mol/kg"),AJ3/18.01528*10*100/AR3,
IF(AND(O3="",BE3="Anions"),AJ3/18.01528*BG3/(J3*2/60.08+K3*2/79.88+L3*3/101.96+M3*3/151.99+N3*3/159.69+P3/71.85+Q3/70.94+R3/40.3+S3/74.69+T3/81.38+U3/56.08+V3/61.98+W3/94.2+X3*5/141.944522+Y3*3/80.06+Z3/18.9984+AA3/35.453+AK3/44.01*2-AU3/12.011-AY3/32.065-2*AZ3/32.065+BA3*3/32.065+AJ3/18.01528),
))))</f>
        <v>5.5625248082765789E-2</v>
      </c>
      <c r="CD3" s="76">
        <f>IF(AND(O3&lt;&gt;"",BE3="Anions"),1/2*(BK3*2+BL3*2+BM3*3/2+BN3*3/2+BO3+BP3*3/2+BQ3+BR3+BS3+BT3+BU3+BV3/2+BW3/2+BX3*5+BY3*2+CC3),
IF(AND(O3="",BE3="Anions"),1/2*(BK3*2+BL3*2+BM3*3/2+BN3*3/2+BO3+BP3*3/2+BQ3+BR3+BS3+BT3+BU3+BV3/2+BW3/2+BX3*5+BY3*2+CC3),
IF(AND(O3&lt;&gt;"",BE3="mol/kg"),BK3+BL3+BM3*3/4+BN3*3/4+AW3/55.845*10/2+AX3/55.845*10*3/4+BR3/2+BS3/2+BT3/2+BU3/2+BV3/4+BW3/4+BX3*5/4+AV3/12*10-AY3/2/32.065*10-AZ3/4/32.065*10+BA3/32.065*10*3/2+CC3/2,
IF(AND(O3="",BE3="mol/kg"),BK3+BL3+BM3*3/4+BN3*3/4+AW3/55.845*10/2+AX3/55.845*10*3/4+BR3/2+BS3/2+BT3/2+BU3/2+BV3/4+BW3/4+BX3*5/4+AV3/12*10-AY3/2/32.065*10-AZ3/4/32.065*10+BA3/32.065*10*3/2+CC3/2,
))))</f>
        <v>13.861331190422897</v>
      </c>
      <c r="CE3" s="12">
        <f>SUM(BK3:BY3,2*CC3)</f>
        <v>19.855174706398859</v>
      </c>
      <c r="CF3" s="12">
        <f>IF(BE3="mol/kg",CA3+CB3+2*CD3,
BK3*2+BL3*2+BM3*3/2+BN3*3/2+BO3+BP3*3/2+BQ3+BR3+BS3+BT3+BU3+BV3/2+BW3/2+BX3*5+BY3*2 + CA3+CB3+CC3- 3*AL3/12.011*BG3/(J3*2/60.08+K3*2/79.88+L3*3/101.96+M3*3/151.99+N3*3/159.69+O3/71.85+Q3/70.94+R3/40.3+S3/74.69+T3/81.38+U3/56.08+V3/61.98+W3/94.2+X3*5/141.944522+Y3*3/80.06+Z3/18.9984+AA3/35.453+AK3/44.01*2-AU3/12.011-AY3/32.065-2*AZ3/32.065+BA3*3/32.065+AJ3/18.01528))</f>
        <v>27.722662380845794</v>
      </c>
      <c r="CG3" s="12"/>
      <c r="CH3" s="67" t="str">
        <f>"mol % oxide O2"</f>
        <v>mol % oxide O2</v>
      </c>
      <c r="CI3" s="81">
        <f>IF((CH3="mol % oxide O2"),J3/60.084*100/(J3/60.084+K3/79.866+L3/101.961+M3/151.99+O3/71.844+2*N3/159.69+Q3/70.937+R3/40.304+S3/74.693+T3/81.38+U3/56.077+V3/61.979+W3/94.196+AJ3/18.015+1/2*N3/159.69),
IF((CH3="wt % oxide O2"),J3/60.084*100/(J3/60.084+K3/79.866+L3/101.961+M3/151.99+O3/71.844+2*N3/159.69+Q3/70.937+R3/40.304+S3/74.693+T3/81.38+U3/56.077+V3/61.979+W3/94.196+AJ3/18.015+1/2*N3/159.69),
IF((CH3="mol % oxide O"),J3/60.084*100/(J3/60.084+K3/79.866+L3/101.961+M3/151.99+O3/71.844+2*N3/159.69+Q3/70.937+R3/40.304+S3/74.693+T3/81.38+U3/56.077+V3/61.979+W3/94.196+AJ3/18.015+N3/159.69),
IF((CH3="mol % oxide Fe2O3"),J3/60.084*100/(J3/60.084+K3/79.866+L3/101.961+M3/151.99+O3/71.844+N3/159.69+Q3/70.937+R3/40.304+S3/74.693+T3/81.38+U3/56.077+V3/61.979+W3/94.196+AJ3/18.015),
IF((CH3="mineral oxide O2"),BK3,
IF((CH3=""),"",
))))))</f>
        <v>38.768841627989964</v>
      </c>
      <c r="CJ3" s="81">
        <f>IF((CH3="mol % oxide O2"),K3/79.866*100/(J3/60.084+K3/79.866+L3/101.961+M3/151.99+O3/71.844+2*N3/159.69+Q3/70.937+R3/40.304+S3/74.693+T3/81.38+U3/56.077+V3/61.979+W3/94.196+AJ3/18.015+1/2*N3/159.69),
IF((CH3="mol % oxide O"),K3/79.866*100/(J3/60.084+K3/79.866+L3/101.961+M3/151.99+O3/71.844+2*N3/159.69+Q3/70.937+R3/40.304+S3/74.693+T3/81.38+U3/56.077+V3/61.979+W3/94.196+AJ3/18.015+N3/159.69),
IF((CH3="mol % oxide Fe2O3"),K3/79.866*100/(J3/60.084+K3/79.866+L3/101.961+M3/151.99+O3/71.844+N3/159.69+Q3/70.937+R3/40.304+S3/74.693+T3/81.38+U3/56.077+V3/61.979+W3/94.196+AJ3/18.015),
IF((CH3="mineral oxide O2"),BL3,
IF((CH3=""),"",
)))))</f>
        <v>8.4445544407400056E-2</v>
      </c>
      <c r="CK3" s="81">
        <f>IF((CH3="mol % oxide O2"),L3/101.961*100/(J3/60.084+K3/79.866+L3/101.961+M3/151.99+O3/71.844+2*N3/159.69+Q3/70.937+R3/40.304+S3/74.693+T3/81.38+U3/56.077+V3/61.979+W3/94.196+AJ3/18.015+1/2*N3/159.69),
IF((CH3="mol % oxide O"),L3/101.961*100/(J3/60.084+K3/79.866+L3/101.961+M3/151.99+O3/71.844+2*N3/159.69+Q3/70.937+R3/40.304+S3/74.693+T3/81.38+U3/56.077+V3/61.979+W3/94.196+AJ3/18.015+N3/159.69),
IF((CH3="mol % oxide Fe2O3"),L3/101.961*100/(J3/60.084+K3/79.866+L3/101.961+M3/151.99+O3/71.844+N3/159.69+Q3/70.937+R3/40.304+S3/74.693+T3/81.38+U3/56.077+V3/61.979+W3/94.196+AJ3/18.015),
IF((CH3="mineral oxide O2"),BM3/2,
IF((CH3=""),"",
)))))</f>
        <v>2.1777348651758439</v>
      </c>
      <c r="CL3" s="81">
        <f>IF((CH3="mol % oxide O2"),M3/151.99*100/(J3/60.084+K3/79.866+L3/101.961+M3/151.99+O3/71.844+2*N3/159.69+Q3/70.937+R3/40.304+S3/74.693+T3/81.38+U3/56.077+V3/61.979+W3/94.196+AJ3/18.015+1/2*N3/159.69),
IF((CH3="mol % oxide O"),M3/151.99*100/(J3/60.084+K3/79.866+L3/101.961+M3/151.99+O3/71.844+2*N3/159.69+Q3/70.937+R3/40.304+S3/74.693+T3/81.38+U3/56.077+V3/61.979+W3/94.196+AJ3/18.015+N3/159.69),
IF((CH3="mol % oxide Fe2O3"),M3/151.99*100/(J3/60.084+K3/79.866+L3/101.961+M3/151.99+O3/71.844+N3/159.69+Q3/70.937+R3/40.304+S3/74.693+T3/81.38+U3/56.077+V3/61.979+W3/94.196+AJ3/18.015),
IF((CH3="mineral oxide O2"),BN3/2,
IF((CH3=""),"",
)))))</f>
        <v>0.12629379991433254</v>
      </c>
      <c r="CM3" s="81">
        <f>IF((CH3="mol % oxide O2"),(O3/71.844+2*N3/159.69)*100/(J3/60.084+K3/79.866+L3/101.961+M3/151.99+O3/71.844+2*N3/159.69+Q3/70.937+R3/40.304+S3/74.693+T3/81.38+U3/56.077+V3/61.979+W3/94.196+AJ3/18.015+1/2*N3/159.69),
IF((CH3="mol % oxide O"),(O3/71.844+2*N3/159.69)*100/(J3/60.084+K3/79.866+L3/101.961+M3/151.99+O3/71.844+2*N3/159.69+Q3/70.937+R3/40.304+S3/74.693+T3/81.38+U3/56.077+V3/61.979+W3/94.196+AJ3/18.015+N3/159.69),
IF((CH3="mol % oxide Fe2O3"),O3/71.844*100/(J3/60.084+K3/79.866+L3/101.961+M3/151.99+O3/71.844+N3/159.69+Q3/70.937+R3/40.304+S3/74.693+T3/81.38+U3/56.077+V3/61.979+W3/94.196+AJ3/18.015),
IF((CH3="mineral oxide O2"),BP3+BO3,
IF((CH3=""),"",
)))))</f>
        <v>5.8266788903942333</v>
      </c>
      <c r="CN3" s="81">
        <f>IF((CH3="mol % oxide O2"),Q3/70.937*100/(J3/60.084+K3/79.866+L3/101.961+M3/151.99+O3/71.844+2*N3/159.69+Q3/70.937+R3/40.304+S3/74.693+T3/81.38+U3/56.077+V3/61.979+W3/94.196+AJ3/18.015+1/2*N3/159.69),
IF((CH3="mol % oxide O"),Q3/70.937*100/(J3/60.084+K3/79.866+L3/101.961+M3/151.99+O3/71.844+2*N3/159.69+Q3/70.937+R3/40.304+S3/74.693+T3/81.38+U3/56.077+V3/61.979+W3/94.196+AJ3/18.015+N3/159.69),
IF((CH3="mol % oxide Fe2O3"),Q3/70.937*100/(J3/60.084+K3/79.866+L3/101.961+M3/151.99+O3/71.844+N3/159.69+Q3/70.937+R3/40.304+S3/74.693+T3/81.38+U3/56.077+V3/61.979+W3/94.196+AJ3/18.015),
IF((CH3="mineral oxide O2"),BQ3,
IF((CH3=""),"",
)))))</f>
        <v>0</v>
      </c>
      <c r="CO3" s="81">
        <f>IF((CH3="mol % oxide O2"),R3/40.304*100/(J3/60.084+K3/79.866+L3/101.961+M3/151.99+O3/71.844+2*N3/159.69+Q3/70.937+R3/40.304+S3/74.693+T3/81.38+U3/56.077+V3/61.979+W3/94.196+AJ3/18.015+1/2*N3/159.69),
IF((CH3="mol % oxide O"),R3/40.304*100/(J3/60.084+K3/79.866+L3/101.961+M3/151.99+O3/71.844+2*N3/159.69+Q3/70.937+R3/40.304+S3/74.693+T3/81.38+U3/56.077+V3/61.979+W3/94.196+AJ3/18.015+N3/159.69),
IF((CH3="mol % oxide Fe2O3"),R3/40.304*100/(J3/60.084+K3/79.866+L3/101.961+M3/151.99+O3/71.844+N3/159.69+Q3/70.937+R3/40.304+S3/74.693+T3/81.38+U3/56.077+V3/61.979+W3/94.196+AJ3/18.015),
IF((CH3="mineral oxide O2"),BR3,
IF((CH3=""),"",
)))))</f>
        <v>49.196913154887227</v>
      </c>
      <c r="CP3" s="81">
        <f>IF((CH3="mol % oxide O2"),S3/74.693*100/(J3/60.084+K3/79.866+L3/101.961+M3/151.99+O3/71.844+2*N3/159.69+Q3/70.937+R3/40.304+S3/74.693+T3/81.38+U3/56.077+V3/61.979+W3/94.196+AJ3/18.015+1/2*N3/159.69),
IF((CH3="mol % oxide O"),S3/74.693*100/(J3/60.084+K3/79.866+L3/101.961+M3/151.99+O3/71.844+2*N3/159.69+Q3/70.937+R3/40.304+S3/74.693+T3/81.38+U3/56.077+V3/61.979+W3/94.196+AJ3/18.015+N3/159.69),
IF((CH3="mol % oxide Fe2O3"),S3/74.693*100/(J3/60.084+K3/79.866+L3/101.961+M3/151.99+O3/71.844+N3/159.69+Q3/70.937+R3/40.304+S3/74.693+T3/81.38+U3/56.077+V3/61.979+W3/94.196+AJ3/18.015),
IF((CH3="mineral oxide O2"),BS3,
IF((CH3=""),"",
)))))</f>
        <v>0</v>
      </c>
      <c r="CQ3" s="81">
        <f>IF((CH3="mol % oxide O2"),T3/81.38*100/(J3/60.084+K3/79.866+L3/101.961+M3/151.99+O3/71.844+2*N3/159.69+Q3/70.937+R3/40.304+S3/74.693+T3/81.38+U3/56.077+V3/61.979+W3/94.196+AJ3/18.015+1/2*N3/159.69),
IF((CH3="mol % oxide O"),T3/81.38*100/(J3/60.084+K3/79.866+L3/101.961+M3/151.99+O3/71.844+2*N3/159.69+Q3/70.937+R3/40.304+S3/74.693+T3/81.38+U3/56.077+V3/61.979+W3/94.196+AJ3/18.015+N3/159.69),
IF((CH3="mol % oxide Fe2O3"),T3/81.38*100/(J3/60.084+K3/79.866+L3/101.961+M3/151.99+O3/71.844+N3/159.69+Q3/70.937+R3/40.304+S3/74.693+T3/81.38+U3/56.077+V3/61.979+W3/94.196+AJ3/18.015),
IF((CH3="mineral oxide O2"),BT3,
IF((CH3=""),"",
)))))</f>
        <v>0</v>
      </c>
      <c r="CR3" s="81">
        <f>IF((CH3="mol % oxide O2"),U3/56.077*100/(J3/60.084+K3/79.866+L3/101.961+M3/151.99+O3/71.844+2*N3/159.69+Q3/70.937+R3/40.304+S3/74.693+T3/81.38+U3/56.077+V3/61.979+W3/94.196+AJ3/18.015+1/2*N3/159.69),
IF((CH3="mol % oxide O"),U3/56.077*100/(J3/60.084+K3/79.866+L3/101.961+M3/151.99+O3/71.844+2*N3/159.69+Q3/70.937+R3/40.304+S3/74.693+T3/81.38+U3/56.077+V3/61.979+W3/94.196+AJ3/18.015+N3/159.69),
IF((CH3="mol % oxide Fe2O3"),U3/56.077*100/(J3/60.084+K3/79.866+L3/101.961+M3/151.99+O3/71.844+N3/159.69+Q3/70.937+R3/40.304+S3/74.693+T3/81.38+U3/56.077+V3/61.979+W3/94.196+AJ3/18.015),
IF((CH3="mineral oxide O2"),BU3,
IF((CH3=""),"",
)))))</f>
        <v>3.2380130443915633</v>
      </c>
      <c r="CS3" s="81">
        <f>IF((CH3="mol % oxide O2"),V3/61.979*100/(J3/60.084+K3/79.866+L3/101.961+M3/151.99+O3/71.844+2*N3/159.69+Q3/70.937+R3/40.304+S3/74.693+T3/81.38+U3/56.077+V3/61.979+W3/94.196+AJ3/18.015+1/2*N3/159.69),
IF((CH3="mol % oxide O"),V3/61.979*100/(J3/60.084+K3/79.866+L3/101.961+M3/151.99+O3/71.844+2*N3/159.69+Q3/70.937+R3/40.304+S3/74.693+T3/81.38+U3/56.077+V3/61.979+W3/94.196+AJ3/18.015+N3/159.69),
IF((CH3="mol % oxide Fe2O3"),V3/61.979*100/(J3/60.084+K3/79.866+L3/101.961+M3/151.99+O3/71.844+N3/159.69+Q3/70.937+R3/40.304+S3/74.693+T3/81.38+U3/56.077+V3/61.979+W3/94.196+AJ3/18.015),
IF((CH3="mineral oxide O2"),BV3/2,
IF((CH3=""),"",
)))))</f>
        <v>0.24274413993772198</v>
      </c>
      <c r="CT3" s="81">
        <f>IF((CH3="mol % oxide O2"),W3/94.196*100/(J3/60.084+K3/79.866+L3/101.961+M3/151.99+O3/71.844+2*N3/159.69+Q3/70.937+R3/40.304+S3/74.693+T3/81.38+U3/56.077+V3/61.979+W3/94.196+AJ3/18.015+1/2*N3/159.69),
IF((CH3="mol % oxide O"),W3/94.196*100/(J3/60.084+K3/79.866+L3/101.961+M3/151.99+O3/71.844+2*N3/159.69+Q3/70.937+R3/40.304+S3/74.693+T3/81.38+U3/56.077+V3/61.979+W3/94.196+AJ3/18.015+N3/159.69),
IF((CH3="mol % oxide Fe2O3"),W3/94.196*100/(J3/60.084+K3/79.866+L3/101.961+M3/151.99+O3/71.844+N3/159.69+Q3/70.937+R3/40.304+S3/74.693+T3/81.38+U3/56.077+V3/61.979+W3/94.196+AJ3/18.015),
IF((CH3="mineral oxide O2"),BW3/2,
IF((CH3=""),"",
)))))</f>
        <v>0</v>
      </c>
      <c r="CU3" s="81">
        <f>IF((CH3="mol % oxide O2"),X3/141.943*100/(J3/60.084+K3/79.866+L3/101.961+M3/151.99+O3/71.844+2*N3/159.69+Q3/70.937+R3/40.304+S3/74.693+T3/81.38+U3/56.077+V3/61.979+W3/94.196+AJ3/18.015+1/2*N3/159.69),
IF((CH3="mol % oxide O"),X3/141.943*100/(J3/60.084+K3/79.866+L3/101.961+M3/151.99+O3/71.844+2*N3/159.69+Q3/70.937+R3/40.304+S3/74.693+T3/81.38+U3/56.077+V3/61.979+W3/94.196+AJ3/18.015+N3/159.69),
IF((CH3="mol % oxide Fe2O3"),X3/141.943*100/(J3/60.084+K3/79.866+L3/101.961+M3/151.99+O3/71.844+N3/159.69+Q3/70.937+R3/40.304+S3/74.693+T3/81.38+U3/56.077+V3/61.979+W3/94.196+AJ3/18.015),
IF((CH3="mineral oxide O2"),BX3/2,
IF((CH3=""),"",
)))))</f>
        <v>0</v>
      </c>
      <c r="CV3" s="81">
        <f>IF((CH3="mol % oxide O2"),AK3/44.01*100/(J3/60.084+K3/79.866+L3/101.961+M3/151.99+O3/71.844+2*N3/159.69+Q3/70.937+R3/40.304+S3/74.693+T3/81.38+U3/56.077+V3/61.979+W3/94.196+AJ3/18.015+1/2*N3/159.69+AK3/44.01+Y3/80.06/2+Z3/20/2+AA3/2/35.453),
IF((CH3="mol % oxide O"),AK3/44.01*100/(J3/60.084+K3/79.866+L3/101.961+M3/151.99+O3/71.844+2*N3/159.69+Q3/70.937+R3/40.304+S3/74.693+T3/81.38+U3/56.077+V3/61.979+W3/94.196+AJ3/18.015+N3/159.69+AK3/44.01+Y3/80.06/2+Z3/20/2+AA3/2/35.453),
IF((CH3="mol % oxide Fe2O3"),AK3/44.01*100/(J3/60.084+K3/79.866+L3/101.961+M3/151.99+O3/71.844+N3/159.69+Q3/70.937+R3/40.304+S3/74.693+T3/81.38+U3/56.077+V3/61.979+W3/94.196+AJ3/18.015+AK3/44.01+Y3/80.06/2+Z3/20/2+AA3/2/35.453),
IF((CH3="mineral oxide O2"),BY3,
IF((CH3=""),"",
)))))</f>
        <v>0</v>
      </c>
      <c r="CW3" s="81">
        <f>IF((CH3="mol % oxide O2"),Y3/80.06/2*100/(J3/60.084+K3/79.866+L3/101.961+M3/151.99+O3/71.844+2*N3/159.69+Q3/70.937+R3/40.304+S3/74.693+T3/81.38+U3/56.077+V3/61.979+W3/94.196+AJ3/18.015+1/2*N3/159.69+AK3/44.01+Y3/80.06/2+Z3/20/2+AA3/2/35.453),
IF((CH3="mol % oxide O"),Y3/80.06/2*100/(J3/60.084+K3/79.866+L3/101.961+M3/151.99+O3/71.844+2*N3/159.69+Q3/70.937+R3/40.304+S3/74.693+T3/81.38+U3/56.077+V3/61.979+W3/94.196+AJ3/18.015+N3/159.69+AK3/44.01+Y3/80.06/2+Z3/20/2+AA3/2/35.453),
IF((CH3="mol % oxide Fe2O3"),Y3/80.06/2*100/(J3/60.084+K3/79.866+L3/101.961+M3/151.99+O3/71.844+N3/159.69+Q3/70.937+R3/40.304+S3/74.693+T3/81.38+U3/56.077+V3/61.979+W3/94.196+AJ3/18.015+AK3/44.01+Y3/80.06/2+Z3/20/2+AA3/2/35.453),
IF((CH3="mineral oxide O2"),BY3,
IF((CH3=""),"",
)))))</f>
        <v>0</v>
      </c>
      <c r="CX3" s="81">
        <f>IF((CH3="mol % oxide O2"),Z3/2/20*100/(J3/60.084+K3/79.866+L3/101.961+M3/151.99+O3/71.844+2*N3/159.69+Q3/70.937+R3/40.304+S3/74.693+T3/81.38+U3/56.077+V3/61.979+W3/94.196+AJ3/18.015+1/2*N3/159.69+AK3/44.01+Y3/80.06/2+Z3/20/2+AA3/2/35.453),
IF((CH3="mol % oxide O"),Z3/2/20*100/(J3/60.084+K3/79.866+L3/101.961+M3/151.99+O3/71.844+2*N3/159.69+Q3/70.937+R3/40.304+S3/74.693+T3/81.38+U3/56.077+V3/61.979+W3/94.196+AJ3/18.015+N3/159.69+AK3/44.01+Y3/80.06/2+Z3/20/2+AA3/2/35.453),
IF((CH3="mol % oxide Fe2O3"),Z3/2/20*100/(J3/60.084+K3/79.866+L3/101.961+M3/151.99+O3/71.844+N3/159.69+Q3/70.937+R3/40.304+S3/74.693+T3/81.38+U3/56.077+V3/61.979+W3/94.196+AJ3/18.015+AK3/44.01+Y3/80.06/2+Z3/20/2+AA3/2/35.453),
IF((CH3="mineral oxide O2"),CA3,
IF((CH3=""),"",
)))))</f>
        <v>0</v>
      </c>
      <c r="CY3" s="81">
        <f>IF((CH3="mol % oxide O2"),AA3/2/35.453*100/(J3/60.084+K3/79.866+L3/101.961+M3/151.99+O3/71.844+2*N3/159.69+Q3/70.937+R3/40.304+S3/74.693+T3/81.38+U3/56.077+V3/61.979+W3/94.196+AJ3/18.015+1/2*N3/159.69+AK3/44.01+Y3/80.06/2+Z3/20/2+AA3/2/35.453),
IF((CH3="mol % oxide O"),AA3/2/35.453*100/(J3/60.084+K3/79.866+L3/101.961+M3/151.99+O3/71.844+2*N3/159.69+Q3/70.937+R3/40.304+S3/74.693+T3/81.38+U3/56.077+V3/61.979+W3/94.196+AJ3/18.015+N3/159.69+AK3/44.01+Y3/80.06/2+Z3/20/2+AA3/2/35.453),
IF((CH3="mol % oxide Fe2O3"),AA3/2/35.453*100/(J3/60.084+K3/79.866+L3/101.961+M3/151.99+O3/71.844+N3/159.69+Q3/70.937+R3/40.304+S3/74.693+T3/81.38+U3/56.077+V3/61.979+W3/94.196+AJ3/18.015+AK3/44.01+Y3/80.06/2+Z3/20/2+AA3/2/35.453),
IF((CH3="mineral oxide O2"),CB3,
IF((CH3=""),"",
)))))</f>
        <v>0</v>
      </c>
      <c r="CZ3" s="81">
        <f>IF((CH3="mol % oxide O2"),AJ3/18.015*100/(J3/60.084+K3/79.866+L3/101.961+M3/151.99+O3/71.844+2*N3/159.69+Q3/70.937+R3/40.304+S3/74.693+T3/81.38+U3/56.077+V3/61.979+W3/94.196+AJ3/18.015+1/2*N3/159.69),
IF((CH3="mol % oxide O"),AJ3/18.015*100/(J3/60.084+K3/79.866+L3/101.961+M3/151.99+O3/71.844+2*N3/159.69+Q3/70.937+R3/40.304+S3/74.693+T3/81.38+U3/56.077+V3/61.979+W3/94.196+AJ3/18.015+N3/159.69),
IF((CH3="mol % oxide Fe2O3"),AJ3/18.015*100/(J3/60.084+K3/79.866+L3/101.961+M3/151.99+O3/71.844+N3/159.69+Q3/70.937+R3/40.304+S3/74.693+T3/81.38+U3/56.077+V3/61.979+W3/94.196+AJ3/18.015),
IF((CH3="mineral oxide O2"),CC3,
IF((CH3=""),"",
)))))</f>
        <v>0.28797915624336184</v>
      </c>
      <c r="DA3" s="81">
        <f>IF((CH3="mol % oxide O2"),1/2*N3/159.69*100/(J3/60.084+K3/79.866+L3/101.961+M3/151.99+O3/71.844+2*N3/159.69+Q3/70.937+R3/40.304+S3/74.693+T3/81.38+U3/56.077+V3/61.979+W3/94.196+AJ3/18.015+1/2*N3/159.69),
IF((CH3="mol % oxide O"),N3/159.69*100/(J3/60.084+K3/79.866+L3/101.961+M3/151.99+O3/71.844+2*N3/159.69+Q3/70.937+R3/40.304+S3/74.693+T3/81.38+U3/56.077+V3/61.979+W3/94.196+AJ3/18.015+N3/159.69),
IF((CH3="mol % oxide Fe2O3"),N3/159.69*100/(J3/60.084+K3/79.866+L3/101.961+M3/151.99+O3/71.844+N3/159.69+Q3/70.937+R3/40.304+S3/74.693+T3/81.38+U3/56.077+V3/61.979+W3/94.196+AJ3/18.015),
IF((CH3="mineral oxide O2"),BP3*1/4,
IF((CH3=""),"",
)))))</f>
        <v>5.0355776658353391E-2</v>
      </c>
      <c r="DB3" s="81"/>
      <c r="DC3" s="67" t="s">
        <v>280</v>
      </c>
      <c r="DD3" s="60">
        <f>BK3*2</f>
        <v>14.978191886049915</v>
      </c>
      <c r="DE3" s="60">
        <f>BL3*2</f>
        <v>3.261731960602493E-2</v>
      </c>
      <c r="DF3" s="67">
        <f>BM3*3/2</f>
        <v>1.2619675111378461</v>
      </c>
      <c r="DG3" s="67">
        <f>BN3*3/2</f>
        <v>7.3184808566441384E-2</v>
      </c>
      <c r="DH3" s="94" t="e">
        <f>BO3+BP3</f>
        <v>#VALUE!</v>
      </c>
      <c r="DI3" s="94">
        <f t="shared" si="0"/>
        <v>0</v>
      </c>
      <c r="DJ3" s="95">
        <f t="shared" si="0"/>
        <v>9.5038290086601211</v>
      </c>
      <c r="DK3" s="94">
        <f t="shared" si="0"/>
        <v>0</v>
      </c>
      <c r="DL3" s="94">
        <f t="shared" si="0"/>
        <v>0</v>
      </c>
      <c r="DM3" s="94">
        <f t="shared" si="0"/>
        <v>0.6254218023326874</v>
      </c>
      <c r="DN3" s="94">
        <f t="shared" si="0"/>
        <v>9.377550228826774E-2</v>
      </c>
      <c r="DO3" s="94">
        <f t="shared" si="0"/>
        <v>0</v>
      </c>
      <c r="DP3" s="94">
        <f>BX3*5/2</f>
        <v>0</v>
      </c>
      <c r="DQ3" s="94">
        <f>CC3</f>
        <v>5.5625248082765789E-2</v>
      </c>
      <c r="DR3" s="94">
        <f>CD3*2</f>
        <v>27.722662380845794</v>
      </c>
    </row>
    <row r="5" spans="1:122" ht="16" customHeight="1">
      <c r="B5" s="67" t="s">
        <v>310</v>
      </c>
      <c r="C5" s="57" t="s">
        <v>312</v>
      </c>
      <c r="D5" s="67" t="s">
        <v>498</v>
      </c>
      <c r="J5" s="39">
        <v>44.9</v>
      </c>
      <c r="L5" s="39">
        <v>4.28</v>
      </c>
      <c r="M5" s="39">
        <v>0.37</v>
      </c>
      <c r="N5" s="58">
        <v>0.31</v>
      </c>
      <c r="O5" s="59">
        <v>7.79</v>
      </c>
      <c r="P5" s="60">
        <f>N5*1/((159.69/71.844)/2)+O5</f>
        <v>8.0689359383806121</v>
      </c>
      <c r="R5" s="39">
        <v>38.22</v>
      </c>
      <c r="U5" s="60">
        <v>3.5</v>
      </c>
      <c r="V5" s="60">
        <v>0.28999999999999998</v>
      </c>
      <c r="W5" s="60">
        <v>0</v>
      </c>
      <c r="X5" s="60"/>
      <c r="Y5" s="60"/>
      <c r="Z5" s="60"/>
      <c r="AA5" s="60"/>
      <c r="AB5" s="60">
        <v>12</v>
      </c>
      <c r="AD5" s="86">
        <v>0</v>
      </c>
      <c r="AE5" s="86">
        <v>0</v>
      </c>
      <c r="AF5" s="86">
        <v>100</v>
      </c>
      <c r="AG5" s="86"/>
      <c r="AH5" s="71">
        <f>IF(O5&lt;&gt;"",2*N5/159.69/(P5/71.844),0)</f>
        <v>3.4569110538333662E-2</v>
      </c>
      <c r="AJ5" s="97">
        <v>12</v>
      </c>
      <c r="AQ5" s="60">
        <f>AB5-O5*0.111+AN5/10000*0.7484 +AO5/10000*0.3742</f>
        <v>11.13531</v>
      </c>
      <c r="AR5" s="124">
        <f>IF(O5&lt;&gt;"",SUM(R5,J5,L5,Q5,O5,N5,S5,T5,U5,K5,M5,AI5,AK5,V5,W5,Z5,AA5,AD5,AE5,Y5,X5),
IF(O5="",SUM(R5,J5,L5,Q5,P5,S5,T5,U5,K5,M5,AI5,AK5,V5,W5,Z5,AA5,AD5,AE5,Y5,X5),
))</f>
        <v>99.660000000000025</v>
      </c>
      <c r="AS5" s="126"/>
      <c r="AT5" s="126"/>
      <c r="AU5" s="140">
        <f>AL5</f>
        <v>0</v>
      </c>
      <c r="AV5" s="140">
        <f>AK5*(12.011/(12.011+2*15.999))*100/AR5</f>
        <v>0</v>
      </c>
      <c r="AW5" s="140">
        <f>IF(O5="",P5*(55.845/(55.845+15.999))*100/AR5,O5*(55.845/(55.845+15.999))*100/AR5)</f>
        <v>6.0758964813085372</v>
      </c>
      <c r="AX5" s="140">
        <f>N5*(2*55.845/(2*55.845+3*15.999))*100/AR5</f>
        <v>0.21756325109610963</v>
      </c>
      <c r="AY5" s="140">
        <f>AN5/10000*100/AR5</f>
        <v>0</v>
      </c>
      <c r="AZ5" s="140">
        <f>AO5/10000*100/AR5</f>
        <v>0</v>
      </c>
      <c r="BA5" s="140">
        <f>AP5/10000*100/AR5</f>
        <v>0</v>
      </c>
      <c r="BB5" s="126"/>
      <c r="BC5" s="68" t="s">
        <v>146</v>
      </c>
      <c r="BD5" s="124"/>
      <c r="BE5" s="96" t="s">
        <v>302</v>
      </c>
      <c r="BF5" s="124"/>
      <c r="BG5" s="50" t="str">
        <f>IF(AND(BE5="Anions",BC5="Amph"),23,
IF(AND(BE5="Cations",BC5="Amph"),CF5,
IF(AND(BE5="Anions",BC5="Mica"),11,
IF(AND(BE5="Cations",BC5="Mica"),CF5,
IF(AND(BE5="Anions",BC5="Ti-Chu"),17.5,
IF(AND(BE5="Cations",BC5="Ti-Chu"),CF5,
IF(AND(BE5="Anions",BC5="F-Ph"),11.5,
IF(AND(BE5="Cations",BC5="F-Ph"),CF5,
IF(AND(BE5="Anions",BC5="Pl"),8,
IF(AND(BE5="Cations",BC5="Pl"),CF5,
IF(AND(BE5="Anions",BC5="Dol"),2,
IF(AND(BE5="Cations",BC5="Dol"),CF5,
IF(AND(BE5="Anions",BC5="Cb"),1,
IF(AND(BE5="Cations",BC5="Cb"),CF5,
IF(AND(BE5="Anions",BC5="Br"),1,
IF(AND(BE5="Cations",BC5="Br"),CF5,
IF(AND(BE5="Anions",BC5="Liz"),7,
IF(AND(BE5="Cations",BC5="Liz"),CF5,
IF(AND(BE5="Anions",BC5="Ep"),12.5,
IF(AND(BE5="Cations",BC5="Ep"),CF5,
IF(AND(BE5="Anions",BC5="Chum"),17,
IF(AND(BE5="Cations",BC5="Chum"),CF5,
IF(AND(BE5="Anions",BC5="Ol"),4,
IF(AND(BE5="Cations",BC5="Ol"),CF5,
IF(AND(BE5="Anions",BC5="Opx"),6,
IF(AND(BE5="Cations",BC5="Opx"),CF5,
IF(AND(BE5="Anions",BC5="Tlc"),11,
IF(AND(BE5="Cations",BC5="Tlc"),CF5,
IF(AND(BE5="Anions",BC5="Tr"),23,
IF(AND(BE5="Cations",BC5="Tr"),CF5,
IF(AND(BE5="Anions",BC5="Atg"),6.824,
IF(AND(BE5="Cations",BC5="Atg"),CF5,
IF(AND(BE5="Anions",BC5="Chl"),14,
IF(AND(BE5="Cations",BC5="Chl"),CF5,
IF(AND(BE5="Anions",BC5="Cpx"),6,
IF(AND(BE5="Cations",BC5="Cpx"),CF5,
IF(AND(BE5="both",BC5="Cpx"),6,
IF(AND(BE5="Anions",BC5="Grt"),12,
IF(AND(BE5="Cations",BC5="Grt"),CF5,
IF(AND(BE5="both",BC5="Grt"),12,
IF(AND(BE5="Anions",BC5="Mag"),4,
IF(AND(BE5="Cations",BC5="Mag"),CF5,
IF(AND(BE5="both",BC5="Mag"),4,
IF(AND(BE5="Anions",BC5="Ti-Cho"),9.5,
IF(AND(BE5="Cations",BC5="Ti-Cho"),CF5,
IF(AND(BE5="Anions",BC5="Ilv"),8.5,
IF(AND(BE5="Cations",BC5="Ilv"),CF5,
IF(AND(BE5="both",BC5="Ilv"),8.5,
IF(AND(BE5="Anions",BC5="Hem"),3,
IF(AND(BE5="Cations",BC5="Hem"),CF5,
IF(AND(BE5="both",BC5="Hem"),3,
IF(AND(BE5="Anions",BC5="WR"),100,
IF(AND(BE5="mol/kg",BC5="WR"),"",
IF(AND(BE5="Cations",BC5="WR"),CF5
)))))))))))))))))))))))))))))))))))))))))))))))))))
)))</f>
        <v/>
      </c>
      <c r="BH5" s="50" t="str">
        <f>IF(AND(BE5="Anions",BC5="Amph"),CE5,
IF(AND(BE5="Cations",BC5="Amph"),15,
IF(AND(BE5="Anions",BC5="Mica"),CE5,
IF(AND(BE5="Cations",BC5="Mica"),7,
IF(AND(BE5="Anions",BC5="Ti-Chu"),CE5,
IF(AND(BE5="Cations",BC5="Ti-Chu"),13,
IF(AND(BE5="Anions",BC5="F-Ph"),CE5,
IF(AND(BE5="Cations",BC5="F-Ph"),8,
IF(AND(BE5="Anions",BC5="Pl"),CE5,
IF(AND(BE5="Cations",BC5="Pl"),5,
IF(AND(BE5="Anions",BC5="Dol"),CE5,
IF(AND(BE5="Cations",BC5="Dol"),2,
IF(AND(BE5="Anions",BC5="Cb"),CE5,
IF(AND(BE5="Cations",BC5="Cb"),1,
IF(AND(BE5="Anions",BC5="Br"),CE5,
IF(AND(BE5="Cations",BC5="Br"),1,
IF(AND(BE5="Anions",BC5="Liz"),CE5,
IF(AND(BE5="Cations",BC5="Liz"),5,
IF(AND(BE5="Anions",BC5="Ep"),CE5,
IF(AND(BE5="Cations",BC5="Ep"),8,
IF(AND(BE5="Anions",BC5="Chum"),CE5,
IF(AND(BE5="Cations",BC5="Chum"),13,
IF(AND(BE5="Anions",BC5="Ol"),CE5,
IF(AND(BE5="Cations",BC5="Ol"),3,
IF(AND(BE5="Anions",BC5="Opx"),CE5,
IF(AND(BE5="Cations",BC5="Opx"),4,
IF(AND(BE5="Anions",BC5="Tlc"),CE5,
IF(AND(BE5="Cations",BC5="Tlc"),7,
IF(AND(BE5="Anions",BC5="Tr"),CE5,
IF(AND(BE5="Cations",BC5="Tr"),15,
IF(AND(BE5="Anions",BC5="Atg"),CE5,
IF(AND(BE5="Cations",BC5="Atg"),4.825,
IF(AND(BE5="Anions",BC5="Chl"),CE5,
IF(AND(BE5="Cations",BC5="Chl"),10,
IF(AND(BE5="Anions",BC5="Cpx"),CE5,
IF(AND(BE5="Cations",BC5="Cpx"),4,
IF(AND(BE5="both",BC5="Cpx"),4,
IF(AND(BE5="Anions",BC5="Grt"),CE5,
IF(AND(BE5="Cations",BC5="Grt"),8,
IF(AND(BE5="both",BC5="Grt"),8,
IF(AND(BE5="Anions",BC5="Mag"),CE5,
IF(AND(BE5="Cations",BC5="Mag"),3,
IF(AND(BE5="both",BC5="Mag"),3,
IF(AND(BE5="Anions",BC5="Ti-Cho"),CE5,
IF(AND(BE5="Cations",BC5="Ti-Cho"),7,
IF(AND(BE5="Anions",BC5="Ilv"),CE5,
IF(AND(BE5="Cations",BC5="Ilv"),6,
IF(AND(BE5="both",BC5="Ilv"),6,
IF(AND(BE5="Anions",BC5="Hem"),CE5,
IF(AND(BE5="Cations",BC5="Hem"),2,
IF(AND(BE5="both",BC5="Hem"),2,
IF(AND(BE5="Anions",BC5="WR"),CE5,
IF(AND(BE5="mol/kg",BC5="WR"),"",
IF(AND(BE5="Cations",BC5="WR"),100,
))))))))))))))))))))))))))))))))))))))))))))))))
))))))</f>
        <v/>
      </c>
      <c r="BI5" s="51"/>
      <c r="BJ5" s="12"/>
      <c r="BK5" s="76">
        <f>IF(AND(O5&lt;&gt;"",BE5="Anions"),J5/60.08*BG5/(J5*2/60.08+K5*2/79.88+L5*3/101.96+M5*3/151.99+N5*3/159.69+O5/71.85+Q5/70.94+R5/40.3+S5/74.69+T5/81.38+U5/56.08+V5/61.98+W5/94.2+X5*5/141.944522+Y5*3/80.06+Z5/18.9984+AA5/35.453+AK5/44.01*2-AU5/12.011-AY5/32.065-2*AZ5/32.065+BA5*3/32.065+AJ5/18.01528),
IF(AND(O5&lt;&gt;"",BE5="mol/kg"),J5/60.08*10*100/AR5,
IF(AND(O5="",BE5="mol/kg"),J5/60.08*10*100/AR5,
IF(AND(O5="",BE5="Anions"),J5/60.08*BG5/(J5*2/60.08+K5*2/79.88+L5*3/101.96+M5*3/151.99+N5*3/159.69+P5/71.85+Q5/70.94+R5/40.3+S5/74.69+T5/81.38+U5/56.08+V5/61.98+W5/94.2+X5*5/141.944522+Y5*3/80.06+Z5/18.9984+AA5/35.453+AK5/44.01*2-AU5/12.011-AY5/32.065-2*AZ5/32.065+BA5*3/32.065+AJ5/18.01528),
))))</f>
        <v>7.4988649824850544</v>
      </c>
      <c r="BL5" s="76">
        <f>IF(AND(O5&lt;&gt;"",BE5="Anions"),K5/79.88*BG5/(J5*2/60.08+K5*2/79.88+L5*3/101.96+M5*3/151.99+N5*3/159.69+O5/71.85+Q5/70.94+R5/40.3+S5/74.69+T5/81.38+U5/56.08+V5/61.98+W5/94.2+X5*5/141.944522+Y5*3/80.06+Z5/18.9984+AA5/35.453+AK5/44.01*2-AU5/12.011-AY5/32.065-2*AZ5/32.065+BA5*3/32.065+AJ5/18.01528),
IF(AND(O5&lt;&gt;"",BE5="mol/kg"),K5/79.88*10*100/AR5,
IF(AND(O5="",BE5="mol/kg"),K5/79.88*10*100/AR5,
IF(AND(O5="",BE5="Anions"),K5/79.88*BG5/(J5*2/60.08+K5*2/79.88+L5*3/101.96+M5*3/151.99+N5*3/159.69+P5/71.85+Q5/70.94+R5/40.3+S5/74.69+T5/81.38+U5/56.08+V5/61.98+W5/94.2+X5*5/141.944522+Y5*3/80.06+Z5/18.9984+AA5/35.453+AK5/44.01*2-AU5/12.011-AY5/32.065-2*AZ5/32.065+BA5*3/32.065+AJ5/18.01528),
))))</f>
        <v>0</v>
      </c>
      <c r="BM5" s="76">
        <f>IF(AND(O5&lt;&gt;"",BE5="Anions"),2*L5/101.96*BG5/(J5*2/60.08+K5*2/79.88+L5*3/101.96+M5*3/151.99+N5*3/159.69+O5/71.85+Q5/70.94+R5/40.3+S5/74.69+T5/81.38+U5/56.08+V5/61.98+W5/94.2+X5*5/141.944522+Y5*3/80.06+Z5/18.9984+AA5/35.453+AK5/44.01*2-AU5/12.011-AY5/32.065-2*AZ5/32.065+BA5*3/32.065+AJ5/18.01528),
IF(AND(O5&lt;&gt;"",BE5="mol/kg"),2*L5/101.96*10*100/AR5,
IF(AND(O5="",BE5="mol/kg"),2*L5/101.96*10*100/AR5,
IF(AND(O5="",BE5="Anions"),2*L5/101.96*BG5/(J5*2/60.08+K5*2/79.88+L5*3/101.96+M5*3/151.99+N5*3/159.69+P5/71.85+Q5/70.94+R5/40.3+S5/74.69+T5/81.38+U5/56.08+V5/61.98+W5/94.2+X5*5/141.944522+Y5*3/80.06+Z5/18.9984+AA5/35.453+AK5/44.01*2-AU5/12.011-AY5/32.065-2*AZ5/32.065+BA5*3/32.065+AJ5/18.01528),
))))</f>
        <v>0.84240911055218171</v>
      </c>
      <c r="BN5" s="76">
        <f>IF(AND(O5&lt;&gt;"",BE5="Anions"),2*M5/151.99*BG5/(J5*2/60.08+K5*2/79.88+L5*3/101.96+M5*3/151.99+N5*3/159.69+O5/71.85+Q5/70.94+R5/40.3+S5/74.69+T5/81.38+U5/56.08+V5/61.98+W5/94.2+X5*5/141.944522+Y5*3/80.06+Z5/18.9984+AA5/35.453+AK5/44.01*2-AU5/12.011-AY5/32.065-2*AZ5/32.065+BA5*3/32.065+AJ5/18.01528),
IF(AND(O5&lt;&gt;"",BE5="mol/kg"),2*M5/151.99*10*100/AR5,
IF(AND(O5="",BE5="mol/kg"),2*M5/151.99*10*100/AR5,
IF(AND(O5="",BE5="Anions"),2*M5/151.99*BG5/(J5*2/60.08+K5*2/79.88+L5*3/101.96+M5*3/151.99+N5*3/159.69+P5/71.85+Q5/70.94+R5/40.3+S5/74.69+T5/81.38+U5/56.08+V5/61.98+W5/94.2+X5*5/141.944522+Y5*3/80.06+Z5/18.9984+AA5/35.453+AK5/44.01*2-AU5/12.011-AY5/32.065-2*AZ5/32.065+BA5*3/32.065+AJ5/18.01528),
))))</f>
        <v>4.8853515598670044E-2</v>
      </c>
      <c r="BO5" s="76">
        <f>IF(AND(O5&lt;&gt;"",BE5="Anions"),O5/71.85*BG5/(J5*2/60.08+K5*2/79.88+L5*3/101.96+M5*3/151.99+N5*3/159.69+O5/71.85+Q5/70.94+R5/40.3+S5/74.69+T5/81.38+U5/56.08+V5/61.98+W5/94.2+X5*5/141.944522+Y5*3/80.06+Z5/18.9984+AA5/35.453+AK5/44.01*2-AU5/12.011-AY5/32.065-2*AZ5/32.065+BA5*3/32.065+AJ5/18.01528),
IF(AND(O5&lt;&gt;"",BE5="mol/kg"),(O5/71.85+N5*2/159.69)*10*100/AR5,
IF(AND(O5="",BE5="mol/kg"),(P5/71.85)*10*100/AR5,
IF(AND(O5="",BE5="Anions"),P5/71.85*BG5/(J5*2/60.08+K5*2/79.88+L5*3/101.96+M5*3/151.99+N5*3/159.69+P5/71.85+Q5/70.94+R5/40.3+S5/74.69+T5/81.38+U5/56.08+V5/61.98+W5/94.2+X5*5/141.944522+Y5*3/80.06+Z5/18.9984+AA5/35.453+AK5/44.01*2-AU5/12.011-AY5/32.065-2*AZ5/32.065+BA5*3/32.065+AJ5/18.01528),
))))</f>
        <v>1.1268597481283174</v>
      </c>
      <c r="BP5" s="77" t="str">
        <f>IF(AND(O5&lt;&gt;"",BE5="Anions"),N5*2/159.69*BG5/(J5*2/60.08+K5*2/79.88+L5*3/101.96+M5*3/151.99+N5*3/159.69+O5/71.85+Q5/70.94+R5/40.3+S5/74.69+T5/81.38+U5/56.08+V5/61.98+W5/94.2+X5*5/141.944522+Y5*3/80.06+Z5/18.9984+AA5/35.453+AK5/44.01*2-AU5/12.011-AY5/32.065-2*AZ5/32.065+BA5*3/32.065+AJ5/18.01528),
IF(AND(O5&lt;&gt;"",BE5="mol/kg"),"-",
IF(AND(O5="",BE5="mol/kg"),"-",
IF(AND(O5="",BE5="Anions"),N5*2/159.69*BG5/(J5*2/60.08+K5*2/79.88+L5*3/101.96+M5*3/151.99+N5*3/159.69+P5/71.85+Q5/70.94+R5/40.3+S5/74.69+T5/81.38+U5/56.08+V5/61.98+W5/94.2+X5*5/141.944522+Y5*3/80.06+Z5/18.9984+AA5/35.453+AK5/44.01*2-AU5/12.011-AY5/32.065-2*AZ5/32.065+BA5*3/32.065+AJ5/18.01528),
))))</f>
        <v>-</v>
      </c>
      <c r="BQ5" s="76">
        <f>IF(AND(O5&lt;&gt;"",BE5="Anions"),Q5/70.94*BG5/(J5*2/60.08+K5*2/79.88+L5*3/101.96+M5*3/151.99+N5*3/159.69+O5/71.85+Q5/70.94+R5/40.3+S5/74.69+T5/81.38+U5/56.08+V5/61.98+W5/94.2+X5*5/141.944522+Y5*3/80.06+Z5/18.9984+AA5/35.453+AK5/44.01*2-AU5/12.011-AY5/32.065-2*AZ5/32.065+BA5*3/32.065+AJ5/18.01528),
IF(AND(O5&lt;&gt;"",BE5="mol/kg"),Q5/70.94*10*100/AR5,
IF(AND(O5="",BE5="mol/kg"),Q5/70.94*10*100/AR5,
IF(AND(O5="",BE5="Anions"),Q5/70.94*BG5/(J5*2/60.08+K5*2/79.88+L5*3/101.96+M5*3/151.99+N5*3/159.69+P5/71.85+Q5/70.94+R5/40.3+S5/74.69+T5/81.38+U5/56.08+V5/61.98+W5/94.2+X5*5/141.944522+Y5*3/80.06+Z5/18.9984+AA5/35.453+AK5/44.01*2-AU5/12.011-AY5/32.065-2*AZ5/32.065+BA5*3/32.065+AJ5/18.01528),
))))</f>
        <v>0</v>
      </c>
      <c r="BR5" s="76">
        <f>IF(AND(O5&lt;&gt;"",BE5="Anions"),R5/40.3*BG5/(J5*2/60.08+K5*2/79.88+L5*3/101.96+M5*3/151.99+N5*3/159.69+O5/71.85+Q5/70.94+R5/40.3+S5/74.69+T5/81.38+U5/56.08+V5/61.98+W5/94.2+X5*5/141.944522+Y5*3/80.06+Z5/18.9984+AA5/35.453+AK5/44.01*2-AU5/12.011-AY5/32.065-2*AZ5/32.065+BA5*3/32.065+AJ5/18.01528),
IF(AND(O5&lt;&gt;"",BE5="mol/kg"),R5/40.3*10*100/AR5,
IF(AND(O5="",BE5="mol/kg"),R5/40.3*10*100/AR5,
IF(AND(O5="",BE5="Anions"),R5/40.3*BG5/(J5*2/60.08+K5*2/79.88+L5*3/101.96+M5*3/151.99+N5*3/159.69+P5/71.85+Q5/70.94+R5/40.3+S5/74.69+T5/81.38+U5/56.08+V5/61.98+W5/94.2+X5*5/141.944522+Y5*3/80.06+Z5/18.9984+AA5/35.453+AK5/44.01*2-AU5/12.011-AY5/32.065-2*AY5/32.065+AY5*3/32.065+AJ5/18.01528),
))))</f>
        <v>9.5162261366063952</v>
      </c>
      <c r="BS5" s="76">
        <f>IF(AND(O5&lt;&gt;"",BE5="Anions"),S5/74.69*BG5/(J5*2/60.08+K5*2/79.88+L5*3/101.96+M5*3/151.99+N5*3/159.69+O5/71.85+Q5/70.94+R5/40.3+S5/74.69+T5/81.38+U5/56.08+V5/61.98+W5/94.2+X5*5/141.944522+Y5*3/80.06+Z5/18.9984+AA5/35.453+AK5/44.01*2-AU5/12.011-AY5/32.065-2*AZ5/32.065+BA5*3/32.065+AJ5/18.01528),
IF(AND(O5&lt;&gt;"",BE5="mol/kg"),S5/74.69*10*100/AR5,
IF(AND(O5="",BE5="mol/kg"),S5/74.69*10*100/AR5,
IF(AND(O5="",BE5="Anions"),S5/74.69*BG5/(J5*2/60.08+K5*2/79.88+L5*3/101.96+M5*3/151.99+N5*3/159.69+P5/71.85+Q5/70.94+R5/40.3+S5/74.69+T5/81.38+U5/56.08+V5/61.98+W5/94.2+X5*5/141.944522+Y5*3/80.06+Z5/18.9984+AA5/35.453+AK5/44.01*2-AU5/12.011-AY5/32.065-2*AZ5/32.065+BA5*3/32.065+AJ5/18.01528),
))))</f>
        <v>0</v>
      </c>
      <c r="BT5" s="76">
        <f>IF(AND(O5&lt;&gt;"",BE5="Anions"),T5/81.38*BG5/(J5*2/60.08+K5*2/79.88+L5*3/101.96+M5*3/151.99+N5*3/159.69+O5/71.85+Q5/70.94+R5/40.3+S5/74.69+T5/81.38+U5/56.08+V5/61.98+W5/94.2+X5*5/141.944522+Y5*3/80.06+Z5/18.9984+AA5/35.453+AK5/44.01*2-AU5/12.011-AY5/32.065-2*AZ5/32.065+BA5*3/32.065+AJ5/18.01528),
IF(AND(O5&lt;&gt;"",BE5="mol/kg"),T5/81.38*10*100/AR5,
IF(AND(O5="",BE5="mol/kg"),T5/81.38*10*100/AR5,
IF(AND(O5="",BE5="Anions"),T5/81.38*BG5/(J5*2/60.08+K5*2/79.88+L5*3/101.96+M5*3/151.99+N5*3/159.69+P5/71.85+Q5/70.94+R5/40.3+S5/74.69+T5/81.38+U5/56.08+V5/61.98+W5/94.2+X5*5/141.944522+Y5*3/80.06+Z5/18.9984+AA5/35.453+AK5/44.01*2-AU5/12.011-AY5/32.065-2*AZ5/32.065+BA5*3/32.065+AJ5/18.01528),
))))</f>
        <v>0</v>
      </c>
      <c r="BU5" s="76">
        <f>IF(AND(O5&lt;&gt;"",BE5="Anions"),U5/56.08*BG5/(J5*2/60.08+K5*2/79.88+L5*3/101.96+M5*3/151.99+N5*3/159.69+O5/71.85+Q5/70.94+R5/40.3+S5/74.69+T5/81.38+U5/56.08+V5/61.98+W5/94.2+X5*5/141.944522+Y5*3/80.06+Z5/18.9984+AA5/35.453+AK5/44.01*2-AU5/12.011-AY5/32.065-2*AZ5/32.065+BA5*3/32.065+AJ5/18.01528),
IF(AND(O5&lt;&gt;"",BE5="mol/kg"),U5/56.08*10*100/AR5,
IF(AND(O5="",BE5="mol/kg"),U5/56.08*10*100/AR5,
IF(AND(O5="",BE5="Anions"),U5/56.08*BG5/(J5*2/60.08+K5*2/79.88+L5*3/101.96+M5*3/151.99+N5*3/159.69+P5/71.85+Q5/70.94+R5/40.3+S5/74.69+T5/81.38+U5/56.08+V5/61.98+W5/94.2+X5*5/141.944522+Y5*3/80.06+Z5/18.9984+AA5/35.453+AK5/44.01*2-AU5/12.011-AY5/32.065-2*AY5/32.065+AY5*3/32.065+AJ5/18.01528),
))))</f>
        <v>0.62623762447099018</v>
      </c>
      <c r="BV5" s="76">
        <f>IF(AND(O5&lt;&gt;"",BE5="Anions"),2*V5/61.98*BG5/(J5*2/60.08+K5*2/79.88+L5*3/101.96+M5*3/151.99+N5*3/159.69+O5/71.85+Q5/70.94+R5/40.3+S5/74.69+T5/81.38+U5/56.08+V5/61.98+W5/94.2+X5*5/141.944522+Y5*3/80.06+Z5/18.9984+AA5/35.453+AK5/44.01*2-AU5/12.011-AY5/32.065-2*AZ5/32.065+BA5*3/32.065+AJ5/18.01528),
IF(AND(O5&lt;&gt;"",BE5="mol/kg"),2*V5/61.98*10*100/AR5,
IF(AND(O5="",BE5="mol/kg"),2*V5/61.98*10*100/AR5,
IF(AND(O5="",BE5="Anions"),2*V5/61.98*BG5/(J5*2/60.08+K5*2/79.88+L5*3/101.96+M5*3/151.99+N5*3/159.69+P5/71.85+Q5/70.94+R5/40.3+S5/74.69+T5/81.38+U5/56.08+V5/61.98+W5/94.2+X5*5/141.944522+Y5*3/80.06+Z5/18.9984+AA5/35.453+AK5/44.01*2-AU5/12.011-AY5/32.065-2*AZ5/32.065+BA5*3/32.065+AJ5/18.01528),
))))</f>
        <v>9.3897826343028679E-2</v>
      </c>
      <c r="BW5" s="76">
        <f>IF(AND(O5&lt;&gt;"",BE5="Anions"),2*W5/94.2*BG5/(J5*2/60.08+K5*2/79.88+L5*3/101.96+M5*3/151.99+N5*3/159.69+O5/71.85+Q5/70.94+R5/40.3+S5/74.69+T5/81.38+U5/56.08+V5/61.98+W5/94.2+X5*5/141.944522+Y5*3/80.06+Z5/18.9984+AA5/35.453+AK5/44.01*2-AU5/12.011-AY5/32.065-2*AZ5/32.065+BA5*3/32.065+AJ5/18.01528),
IF(AND(O5&lt;&gt;"",BE5="mol/kg"),2*W5/94.2*10*100/AR5,
IF(AND(O5="",BE5="mol/kg"),2*W5/94.2*10*100/AR5,
IF(AND(O5="",BE5="Anions"),2*W5/94.2*BG5/(J5*2/60.08+K5*2/79.88+L5*3/101.96+M5*3/151.99+N5*3/159.69+P5/71.85+Q5/70.94+R5/40.3+S5/74.69+T5/81.38+U5/56.08+V5/61.98+W5/94.2+X5*5/141.944522+Y5*3/80.06+Z5/18.9984+AA5/35.453+AK5/44.01*2-AU5/12.011-AY5/32.065-2*AZ5/32.065+BA5*3/32.065+AJ5/18.01528),
))))</f>
        <v>0</v>
      </c>
      <c r="BX5" s="76">
        <f>IF(AND(O5&lt;&gt;"",BE5="Anions"),X5*2/141.944522*BG5/(J5*2/60.08+K5*2/79.88+L5*3/101.96+M5*3/151.99+N5*3/159.69+O5/71.85+Q5/70.94+R5/40.3+S5/74.69+T5/81.38+U5/56.08+V5/61.98+W5/94.2+X5*5/141.944522+Y5*3/80.06+Z5/18.9984+AA5/35.453+AK5/44.01*2-AU5/12.011-AY5/32.065-2*AZ5/32.065+BA5*3/32.065+AJ5/18.01528),
IF(AND(O5&lt;&gt;"",BE5="mol/kg"),X5*2/141.944522*10*100/AR5,
IF(AND(O5="",BE5="mol/kg"),X5*2/141.944522*10*100/AR5,
IF(AND(O5="",BE5="Anions"),X5*2/141.944522*BG5/(J5*2/60.08+K5*2/79.88+L5*3/101.96+M5*3/151.99+N5*3/159.69+P5/71.85+Q5/70.94+R5/40.3+S5/74.69+T5/81.38+U5/56.08+V5/61.98+W5/94.2+X5*5/141.944522+Y5*3/80.06+Z5/18.9984+AA5/35.453+AK5/44.01*2-AU5/12.011-AY5/32.065-2*AZ5/32.065+BA5*3/32.065+AJ5/18.01528),
))))</f>
        <v>0</v>
      </c>
      <c r="BY5" s="76">
        <f>IF(AND(O5&lt;&gt;"",BE5="Anions"),(AK5/44.01+AL5/12.011)*BG5/(J5*2/60.08+K5*2/79.88+L5*3/101.96+M5*3/151.99+N5*3/159.69+O5/71.85+Q5/70.94+R5/40.3+S5/74.69+T5/81.38+U5/56.08+V5/61.98+W5/94.2+X5*5/141.944522+Y5*3/80.06+Z5/18.9984+AA5/35.453+AK5/44.01*2-AU5/12.011-AY5/32.065-2*AZ5/32.065+BA5*3/32.065+AJ5/18.01528),
IF(AND(O5&lt;&gt;"",BE5="mol/kg"),(AK5*(12.011/(12.011+31.999))+AL5)/12.011*10*100/AR5,
IF(AND(O5="",BE5="mol/kg"),(AK5*(12.011/(12.011+31.999))+AL5)/12.011*10*100/AR5,
IF(AND(O5="",BE5="Anions"),(AK5/44.01+AL5/12.011)*BG5/(J5*2/60.08+K5*2/79.88+L5*3/101.96+M5*3/151.99+N5*3/159.69+P5/71.85+Q5/70.94+R5/40.3+S5/74.69+T5/81.38+U5/56.08+V5/61.98+W5/94.2+X5*5/141.944522+Y5*3/80.06+Z5/18.9984+AA5/35.453+AK5/44.01*2-AU5/12.011-AY5/32.065-2*AZ5/32.065+BA5*3/32.065+AJ5/18.01528),
))))</f>
        <v>0</v>
      </c>
      <c r="BZ5" s="76">
        <f>IF(AND(O5&lt;&gt;"",BE5="Anions"),Y5/32.06/2*BG5/(J5*2/60.08+K5*2/79.88+L5*3/101.96+M5*3/151.99+N5*3/159.69+O5/71.85+Q5/70.94+R5/40.3+S5/74.69+T5/81.38+U5/56.08+V5/61.98+W5/94.2+X5*5/141.944522+Y5*3/80.06+Z5/18.9984+AA5/35.453+AK5/44.01*2-AU5/12.011-AY5/32.065-2*AZ5/32.065+BA5*3/32.065+AJ5/18.01528),
IF(AND(O5&lt;&gt;"",BE5="mol/kg"),Y5/32.06/2*10*100/AR5,
IF(AND(O5="",BE5="mol/kg"),Y5/32.06/2*10*100/AR5,
IF(AND(O5="",BE5="Anions"),Y5/32.06/2*BG5/(J5*2/60.08+K5*2/79.88+L5*3/101.96+M5*3/151.99+N5*3/159.69+P5/71.85+Q5/70.94+R5/40.3+S5/74.69+T5/81.38+U5/56.08+V5/61.98+W5/94.2+X5*5/141.944522+Y5*3/80.06+Z5/18.9984+AA5/35.453+AK5/44.01*2-AU5/12.011-AY5/32.065-2*AZ5/32.065+BA5*3/32.065+AJ5/18.01528),
))))</f>
        <v>0</v>
      </c>
      <c r="CA5" s="78">
        <f>IF(AND(O5&lt;&gt;"",BE5="Anions"),Z5/18.9984*BG5/(J5*2/60.08+K5*2/79.88+L5*3/101.96+M5*3/151.99+N5*3/159.69+O5/71.85+Q5/70.94+R5/40.3+S5/74.69+T5/81.38+U5/56.08+V5/61.98+W5/94.2+X5*5/141.944522+Y5*3/80.06+Z5/18.9984+AA5/35.453+AK5/44.01*2-AU5/12.011-AY5/32.065-2*AZ5/32.065+BA5*3/32.065+AJ5/18.01528),
IF(AND(O5&lt;&gt;"",BE5="mol/kg"),Z5/18.9984*10*100/AR5,
IF(AND(O5="",BE5="mol/kg"),Z5/18.9984*10*100/AR5,
IF(AND(O5="",BE5="Anions"),Z5/18.9984*BG5/(J5*2/60.08+K5*2/79.88+L5*3/101.96+M5*3/151.99+N5*3/159.69+P5/71.85+Q5/70.94+R5/40.3+S5/74.69+T5/81.38+U5/56.08+V5/61.98+W5/94.2+X5*5/141.944522+Y5*3/80.06+Z5/18.9984+AA5/35.453+AK5/44.01*2-AU5/12.011-AY5/32.065-2*AZ5/32.065+BA5*3/32.065+AJ5/18.01528),
))))</f>
        <v>0</v>
      </c>
      <c r="CB5" s="76">
        <f>IF(AND(O5&lt;&gt;"",BE5="Anions"),AA5/35.453*BG5/(J5*2/60.08+K5*2/79.88+L5*3/101.96+M5*3/151.99+N5*3/159.69+O5/71.85+Q5/70.94+R5/40.3+S5/74.69+T5/81.38+U5/56.08+V5/61.98+W5/94.2+X5*5/141.944522+Y5*3/80.06+Z5/18.9984+AA5/35.453+AK5/44.01*2-AU5/12.011-AY5/32.065-2*AZ5/32.065+BA5*3/32.065+AJ5/18.01528),
IF(AND(O5&lt;&gt;"",BE5="mol/kg"),AA5/35.453*10*100/AR5,
IF(AND(O5="",BE5="mol/kg"),AA5/35.453*10*100/AR5,
IF(AND(O5="",BE5="Anions"),AA5/35.453*BG5/(J5*2/60.08+K5*2/79.88+L5*3/101.96+M5*3/151.99+N5*3/159.69+P5/71.85+Q5/70.94+R5/40.3+S5/74.69+T5/81.38+U5/56.08+V5/61.98+W5/94.2+X5*5/141.944522+Y5*3/80.06+Z5/18.9984+AA5/35.453+AK5/44.01*2-AU5/12.011-AY5/32.065-2*AZ5/32.065+BA5*3/32.065+AJ5/18.01528),
))))</f>
        <v>0</v>
      </c>
      <c r="CC5" s="76">
        <f>IF(AND(O5&lt;&gt;"",BE5="Anions"),AJ5/18.01528*BG5/(J5*2/60.08+K5*2/79.88+L5*3/101.96+M5*3/151.99+N5*3/159.69+O5/71.85+Q5/70.94+R5/40.3+S5/74.69+T5/81.38+U5/56.08+V5/61.98+W5/94.2+X5*5/141.944522+Y5*3/80.06+Z5/18.9984+AA5/35.453+AK5/44.01*2-AU5/12.011-AY5/32.065-2*AZ5/32.065+BA5*3/32.065+AJ5/18.01528),
IF(AND(O5&lt;&gt;"",BE5="mol/kg"),AJ5/18.01528*10*100/AR5,
IF(AND(O5="",BE5="mol/kg"),AJ5/18.01528*10*100/AR5,
IF(AND(O5="",BE5="Anions"),AJ5/18.01528*BG5/(J5*2/60.08+K5*2/79.88+L5*3/101.96+M5*3/151.99+N5*3/159.69+P5/71.85+Q5/70.94+R5/40.3+S5/74.69+T5/81.38+U5/56.08+V5/61.98+W5/94.2+X5*5/141.944522+Y5*3/80.06+Z5/18.9984+AA5/35.453+AK5/44.01*2-AU5/12.011-AY5/32.065-2*AZ5/32.065+BA5*3/32.065+AJ5/18.01528),
))))</f>
        <v>6.6837369129189614</v>
      </c>
      <c r="CD5" s="76">
        <f>IF(AND(O5&lt;&gt;"",BE5="Anions"),1/2*(BK5*2+BL5*2+BM5*3/2+BN5*3/2+BO5+BP5*3/2+BQ5+BR5+BS5+BT5+BU5+BV5/2+BW5/2+BX5*5+BY5*2+CC5),
IF(AND(O5="",BE5="Anions"),1/2*(BK5*2+BL5*2+BM5*3/2+BN5*3/2+BO5+BP5*3/2+BQ5+BR5+BS5+BT5+BU5+BV5/2+BW5/2+BX5*5+BY5*2+CC5),
IF(AND(O5&lt;&gt;"",BE5="mol/kg"),BK5+BL5+BM5*3/4+BN5*3/4+AW5/55.845*10/2+AX5/55.845*10*3/4+BR5/2+BS5/2+BT5/2+BU5/2+BV5/4+BW5/4+BX5*5/4+AV5/12*10-AY5/2/32.065*10-AZ5/4/32.065*10+BA5/32.065*10*3/2+CC5/2,
IF(AND(O5="",BE5="mol/kg"),BK5+BL5+BM5*3/4+BN5*3/4+AW5/55.845*10/2+AX5/55.845*10*3/4+BR5/2+BS5/2+BT5/2+BU5/2+BV5/4+BW5/4+BX5*5/4+AV5/12*10-AY5/2/32.065*10-AZ5/4/32.065*10+BA5/32.065*10*3/2+CC5/2,
))))</f>
        <v>17.177102016337756</v>
      </c>
      <c r="CE5" s="12">
        <f>SUM(BK5:BY5,2*CC5)</f>
        <v>33.120822770022563</v>
      </c>
      <c r="CF5" s="12">
        <f>IF(BE5="mol/kg",CA5+CB5+2*CD5,
BK5*2+BL5*2+BM5*3/2+BN5*3/2+BO5+BP5*3/2+BQ5+BR5+BS5+BT5+BU5+BV5/2+BW5/2+BX5*5+BY5*2 + CA5+CB5+CC5- 3*AL5/12.011*BG5/(J5*2/60.08+K5*2/79.88+L5*3/101.96+M5*3/151.99+N5*3/159.69+O5/71.85+Q5/70.94+R5/40.3+S5/74.69+T5/81.38+U5/56.08+V5/61.98+W5/94.2+X5*5/141.944522+Y5*3/80.06+Z5/18.9984+AA5/35.453+AK5/44.01*2-AU5/12.011-AY5/32.065-2*AZ5/32.065+BA5*3/32.065+AJ5/18.01528))</f>
        <v>34.354204032675511</v>
      </c>
      <c r="CG5" s="12"/>
      <c r="CH5" s="67" t="str">
        <f>"mol % oxide O2"</f>
        <v>mol % oxide O2</v>
      </c>
      <c r="CI5" s="81">
        <f>IF((CH5="mol % oxide O2"),J5/60.084*100/(J5/60.084+K5/79.866+L5/101.961+M5/151.99+O5/71.844+2*N5/159.69+Q5/70.937+R5/40.304+S5/74.693+T5/81.38+U5/56.077+V5/61.979+W5/94.196+AJ5/18.015+1/2*N5/159.69),
IF((CH5="wt % oxide O2"),J5/60.084*100/(J5/60.084+K5/79.866+L5/101.961+M5/151.99+O5/71.844+2*N5/159.69+Q5/70.937+R5/40.304+S5/74.693+T5/81.38+U5/56.077+V5/61.979+W5/94.196+AJ5/18.015+1/2*N5/159.69),
IF((CH5="mol % oxide O"),J5/60.084*100/(J5/60.084+K5/79.866+L5/101.961+M5/151.99+O5/71.844+2*N5/159.69+Q5/70.937+R5/40.304+S5/74.693+T5/81.38+U5/56.077+V5/61.979+W5/94.196+AJ5/18.015+N5/159.69),
IF((CH5="mol % oxide Fe2O3"),J5/60.084*100/(J5/60.084+K5/79.866+L5/101.961+M5/151.99+O5/71.844+N5/159.69+Q5/70.937+R5/40.304+S5/74.693+T5/81.38+U5/56.077+V5/61.979+W5/94.196+AJ5/18.015),
IF((CH5="mineral oxide O2"),BK5,
IF((CH5=""),"",
))))))</f>
        <v>28.892067096793568</v>
      </c>
      <c r="CJ5" s="81">
        <f>IF((CH5="mol % oxide O2"),K5/79.866*100/(J5/60.084+K5/79.866+L5/101.961+M5/151.99+O5/71.844+2*N5/159.69+Q5/70.937+R5/40.304+S5/74.693+T5/81.38+U5/56.077+V5/61.979+W5/94.196+AJ5/18.015+1/2*N5/159.69),
IF((CH5="mol % oxide O"),K5/79.866*100/(J5/60.084+K5/79.866+L5/101.961+M5/151.99+O5/71.844+2*N5/159.69+Q5/70.937+R5/40.304+S5/74.693+T5/81.38+U5/56.077+V5/61.979+W5/94.196+AJ5/18.015+N5/159.69),
IF((CH5="mol % oxide Fe2O3"),K5/79.866*100/(J5/60.084+K5/79.866+L5/101.961+M5/151.99+O5/71.844+N5/159.69+Q5/70.937+R5/40.304+S5/74.693+T5/81.38+U5/56.077+V5/61.979+W5/94.196+AJ5/18.015),
IF((CH5="mineral oxide O2"),BL5,
IF((CH5=""),"",
)))))</f>
        <v>0</v>
      </c>
      <c r="CK5" s="81">
        <f>IF((CH5="mol % oxide O2"),L5/101.961*100/(J5/60.084+K5/79.866+L5/101.961+M5/151.99+O5/71.844+2*N5/159.69+Q5/70.937+R5/40.304+S5/74.693+T5/81.38+U5/56.077+V5/61.979+W5/94.196+AJ5/18.015+1/2*N5/159.69),
IF((CH5="mol % oxide O"),L5/101.961*100/(J5/60.084+K5/79.866+L5/101.961+M5/151.99+O5/71.844+2*N5/159.69+Q5/70.937+R5/40.304+S5/74.693+T5/81.38+U5/56.077+V5/61.979+W5/94.196+AJ5/18.015+N5/159.69),
IF((CH5="mol % oxide Fe2O3"),L5/101.961*100/(J5/60.084+K5/79.866+L5/101.961+M5/151.99+O5/71.844+N5/159.69+Q5/70.937+R5/40.304+S5/74.693+T5/81.38+U5/56.077+V5/61.979+W5/94.196+AJ5/18.015),
IF((CH5="mineral oxide O2"),BM5/2,
IF((CH5=""),"",
)))))</f>
        <v>1.6229337581822747</v>
      </c>
      <c r="CL5" s="81">
        <f>IF((CH5="mol % oxide O2"),M5/151.99*100/(J5/60.084+K5/79.866+L5/101.961+M5/151.99+O5/71.844+2*N5/159.69+Q5/70.937+R5/40.304+S5/74.693+T5/81.38+U5/56.077+V5/61.979+W5/94.196+AJ5/18.015+1/2*N5/159.69),
IF((CH5="mol % oxide O"),M5/151.99*100/(J5/60.084+K5/79.866+L5/101.961+M5/151.99+O5/71.844+2*N5/159.69+Q5/70.937+R5/40.304+S5/74.693+T5/81.38+U5/56.077+V5/61.979+W5/94.196+AJ5/18.015+N5/159.69),
IF((CH5="mol % oxide Fe2O3"),M5/151.99*100/(J5/60.084+K5/79.866+L5/101.961+M5/151.99+O5/71.844+N5/159.69+Q5/70.937+R5/40.304+S5/74.693+T5/81.38+U5/56.077+V5/61.979+W5/94.196+AJ5/18.015),
IF((CH5="mineral oxide O2"),BN5/2,
IF((CH5=""),"",
)))))</f>
        <v>9.4119111838500913E-2</v>
      </c>
      <c r="CM5" s="81">
        <f>IF((CH5="mol % oxide O2"),(O5/71.844+2*N5/159.69)*100/(J5/60.084+K5/79.866+L5/101.961+M5/151.99+O5/71.844+2*N5/159.69+Q5/70.937+R5/40.304+S5/74.693+T5/81.38+U5/56.077+V5/61.979+W5/94.196+AJ5/18.015+1/2*N5/159.69),
IF((CH5="mol % oxide O"),(O5/71.844+2*N5/159.69)*100/(J5/60.084+K5/79.866+L5/101.961+M5/151.99+O5/71.844+2*N5/159.69+Q5/70.937+R5/40.304+S5/74.693+T5/81.38+U5/56.077+V5/61.979+W5/94.196+AJ5/18.015+N5/159.69),
IF((CH5="mol % oxide Fe2O3"),O5/71.844*100/(J5/60.084+K5/79.866+L5/101.961+M5/151.99+O5/71.844+N5/159.69+Q5/70.937+R5/40.304+S5/74.693+T5/81.38+U5/56.077+V5/61.979+W5/94.196+AJ5/18.015),
IF((CH5="mineral oxide O2"),BP5+BO5,
IF((CH5=""),"",
)))))</f>
        <v>4.3422705034137747</v>
      </c>
      <c r="CN5" s="81">
        <f>IF((CH5="mol % oxide O2"),Q5/70.937*100/(J5/60.084+K5/79.866+L5/101.961+M5/151.99+O5/71.844+2*N5/159.69+Q5/70.937+R5/40.304+S5/74.693+T5/81.38+U5/56.077+V5/61.979+W5/94.196+AJ5/18.015+1/2*N5/159.69),
IF((CH5="mol % oxide O"),Q5/70.937*100/(J5/60.084+K5/79.866+L5/101.961+M5/151.99+O5/71.844+2*N5/159.69+Q5/70.937+R5/40.304+S5/74.693+T5/81.38+U5/56.077+V5/61.979+W5/94.196+AJ5/18.015+N5/159.69),
IF((CH5="mol % oxide Fe2O3"),Q5/70.937*100/(J5/60.084+K5/79.866+L5/101.961+M5/151.99+O5/71.844+N5/159.69+Q5/70.937+R5/40.304+S5/74.693+T5/81.38+U5/56.077+V5/61.979+W5/94.196+AJ5/18.015),
IF((CH5="mineral oxide O2"),BQ5,
IF((CH5=""),"",
)))))</f>
        <v>0</v>
      </c>
      <c r="CO5" s="81">
        <f>IF((CH5="mol % oxide O2"),R5/40.304*100/(J5/60.084+K5/79.866+L5/101.961+M5/151.99+O5/71.844+2*N5/159.69+Q5/70.937+R5/40.304+S5/74.693+T5/81.38+U5/56.077+V5/61.979+W5/94.196+AJ5/18.015+1/2*N5/159.69),
IF((CH5="mol % oxide O"),R5/40.304*100/(J5/60.084+K5/79.866+L5/101.961+M5/151.99+O5/71.844+2*N5/159.69+Q5/70.937+R5/40.304+S5/74.693+T5/81.38+U5/56.077+V5/61.979+W5/94.196+AJ5/18.015+N5/159.69),
IF((CH5="mol % oxide Fe2O3"),R5/40.304*100/(J5/60.084+K5/79.866+L5/101.961+M5/151.99+O5/71.844+N5/159.69+Q5/70.937+R5/40.304+S5/74.693+T5/81.38+U5/56.077+V5/61.979+W5/94.196+AJ5/18.015),
IF((CH5="mineral oxide O2"),BR5,
IF((CH5=""),"",
)))))</f>
        <v>36.663476548133914</v>
      </c>
      <c r="CP5" s="81">
        <f>IF((CH5="mol % oxide O2"),S5/74.693*100/(J5/60.084+K5/79.866+L5/101.961+M5/151.99+O5/71.844+2*N5/159.69+Q5/70.937+R5/40.304+S5/74.693+T5/81.38+U5/56.077+V5/61.979+W5/94.196+AJ5/18.015+1/2*N5/159.69),
IF((CH5="mol % oxide O"),S5/74.693*100/(J5/60.084+K5/79.866+L5/101.961+M5/151.99+O5/71.844+2*N5/159.69+Q5/70.937+R5/40.304+S5/74.693+T5/81.38+U5/56.077+V5/61.979+W5/94.196+AJ5/18.015+N5/159.69),
IF((CH5="mol % oxide Fe2O3"),S5/74.693*100/(J5/60.084+K5/79.866+L5/101.961+M5/151.99+O5/71.844+N5/159.69+Q5/70.937+R5/40.304+S5/74.693+T5/81.38+U5/56.077+V5/61.979+W5/94.196+AJ5/18.015),
IF((CH5="mineral oxide O2"),BS5,
IF((CH5=""),"",
)))))</f>
        <v>0</v>
      </c>
      <c r="CQ5" s="81">
        <f>IF((CH5="mol % oxide O2"),T5/81.38*100/(J5/60.084+K5/79.866+L5/101.961+M5/151.99+O5/71.844+2*N5/159.69+Q5/70.937+R5/40.304+S5/74.693+T5/81.38+U5/56.077+V5/61.979+W5/94.196+AJ5/18.015+1/2*N5/159.69),
IF((CH5="mol % oxide O"),T5/81.38*100/(J5/60.084+K5/79.866+L5/101.961+M5/151.99+O5/71.844+2*N5/159.69+Q5/70.937+R5/40.304+S5/74.693+T5/81.38+U5/56.077+V5/61.979+W5/94.196+AJ5/18.015+N5/159.69),
IF((CH5="mol % oxide Fe2O3"),T5/81.38*100/(J5/60.084+K5/79.866+L5/101.961+M5/151.99+O5/71.844+N5/159.69+Q5/70.937+R5/40.304+S5/74.693+T5/81.38+U5/56.077+V5/61.979+W5/94.196+AJ5/18.015),
IF((CH5="mineral oxide O2"),BT5,
IF((CH5=""),"",
)))))</f>
        <v>0</v>
      </c>
      <c r="CR5" s="81">
        <f>IF((CH5="mol % oxide O2"),U5/56.077*100/(J5/60.084+K5/79.866+L5/101.961+M5/151.99+O5/71.844+2*N5/159.69+Q5/70.937+R5/40.304+S5/74.693+T5/81.38+U5/56.077+V5/61.979+W5/94.196+AJ5/18.015+1/2*N5/159.69),
IF((CH5="mol % oxide O"),U5/56.077*100/(J5/60.084+K5/79.866+L5/101.961+M5/151.99+O5/71.844+2*N5/159.69+Q5/70.937+R5/40.304+S5/74.693+T5/81.38+U5/56.077+V5/61.979+W5/94.196+AJ5/18.015+N5/159.69),
IF((CH5="mol % oxide Fe2O3"),U5/56.077*100/(J5/60.084+K5/79.866+L5/101.961+M5/151.99+O5/71.844+N5/159.69+Q5/70.937+R5/40.304+S5/74.693+T5/81.38+U5/56.077+V5/61.979+W5/94.196+AJ5/18.015),
IF((CH5="mineral oxide O2"),BU5,
IF((CH5=""),"",
)))))</f>
        <v>2.4130948001116295</v>
      </c>
      <c r="CS5" s="81">
        <f>IF((CH5="mol % oxide O2"),V5/61.979*100/(J5/60.084+K5/79.866+L5/101.961+M5/151.99+O5/71.844+2*N5/159.69+Q5/70.937+R5/40.304+S5/74.693+T5/81.38+U5/56.077+V5/61.979+W5/94.196+AJ5/18.015+1/2*N5/159.69),
IF((CH5="mol % oxide O"),V5/61.979*100/(J5/60.084+K5/79.866+L5/101.961+M5/151.99+O5/71.844+2*N5/159.69+Q5/70.937+R5/40.304+S5/74.693+T5/81.38+U5/56.077+V5/61.979+W5/94.196+AJ5/18.015+N5/159.69),
IF((CH5="mol % oxide Fe2O3"),V5/61.979*100/(J5/60.084+K5/79.866+L5/101.961+M5/151.99+O5/71.844+N5/159.69+Q5/70.937+R5/40.304+S5/74.693+T5/81.38+U5/56.077+V5/61.979+W5/94.196+AJ5/18.015),
IF((CH5="mineral oxide O2"),BV5/2,
IF((CH5=""),"",
)))))</f>
        <v>0.18090248983272836</v>
      </c>
      <c r="CT5" s="81">
        <f>IF((CH5="mol % oxide O2"),W5/94.196*100/(J5/60.084+K5/79.866+L5/101.961+M5/151.99+O5/71.844+2*N5/159.69+Q5/70.937+R5/40.304+S5/74.693+T5/81.38+U5/56.077+V5/61.979+W5/94.196+AJ5/18.015+1/2*N5/159.69),
IF((CH5="mol % oxide O"),W5/94.196*100/(J5/60.084+K5/79.866+L5/101.961+M5/151.99+O5/71.844+2*N5/159.69+Q5/70.937+R5/40.304+S5/74.693+T5/81.38+U5/56.077+V5/61.979+W5/94.196+AJ5/18.015+N5/159.69),
IF((CH5="mol % oxide Fe2O3"),W5/94.196*100/(J5/60.084+K5/79.866+L5/101.961+M5/151.99+O5/71.844+N5/159.69+Q5/70.937+R5/40.304+S5/74.693+T5/81.38+U5/56.077+V5/61.979+W5/94.196+AJ5/18.015),
IF((CH5="mineral oxide O2"),BW5/2,
IF((CH5=""),"",
)))))</f>
        <v>0</v>
      </c>
      <c r="CU5" s="81">
        <f>IF((CH5="mol % oxide O2"),X5/141.943*100/(J5/60.084+K5/79.866+L5/101.961+M5/151.99+O5/71.844+2*N5/159.69+Q5/70.937+R5/40.304+S5/74.693+T5/81.38+U5/56.077+V5/61.979+W5/94.196+AJ5/18.015+1/2*N5/159.69),
IF((CH5="mol % oxide O"),X5/141.943*100/(J5/60.084+K5/79.866+L5/101.961+M5/151.99+O5/71.844+2*N5/159.69+Q5/70.937+R5/40.304+S5/74.693+T5/81.38+U5/56.077+V5/61.979+W5/94.196+AJ5/18.015+N5/159.69),
IF((CH5="mol % oxide Fe2O3"),X5/141.943*100/(J5/60.084+K5/79.866+L5/101.961+M5/151.99+O5/71.844+N5/159.69+Q5/70.937+R5/40.304+S5/74.693+T5/81.38+U5/56.077+V5/61.979+W5/94.196+AJ5/18.015),
IF((CH5="mineral oxide O2"),BX5/2,
IF((CH5=""),"",
)))))</f>
        <v>0</v>
      </c>
      <c r="CV5" s="81">
        <f>IF((CH5="mol % oxide O2"),AK5/44.01*100/(J5/60.084+K5/79.866+L5/101.961+M5/151.99+O5/71.844+2*N5/159.69+Q5/70.937+R5/40.304+S5/74.693+T5/81.38+U5/56.077+V5/61.979+W5/94.196+AJ5/18.015+1/2*N5/159.69+AK5/44.01+Y5/80.06/2+Z5/20/2+AA5/2/35.453),
IF((CH5="mol % oxide O"),AK5/44.01*100/(J5/60.084+K5/79.866+L5/101.961+M5/151.99+O5/71.844+2*N5/159.69+Q5/70.937+R5/40.304+S5/74.693+T5/81.38+U5/56.077+V5/61.979+W5/94.196+AJ5/18.015+N5/159.69+AK5/44.01+Y5/80.06/2+Z5/20/2+AA5/2/35.453),
IF((CH5="mol % oxide Fe2O3"),AK5/44.01*100/(J5/60.084+K5/79.866+L5/101.961+M5/151.99+O5/71.844+N5/159.69+Q5/70.937+R5/40.304+S5/74.693+T5/81.38+U5/56.077+V5/61.979+W5/94.196+AJ5/18.015+AK5/44.01+Y5/80.06/2+Z5/20/2+AA5/2/35.453),
IF((CH5="mineral oxide O2"),BY5,
IF((CH5=""),"",
)))))</f>
        <v>0</v>
      </c>
      <c r="CW5" s="81">
        <f>IF((CH5="mol % oxide O2"),Y5/80.06/2*100/(J5/60.084+K5/79.866+L5/101.961+M5/151.99+O5/71.844+2*N5/159.69+Q5/70.937+R5/40.304+S5/74.693+T5/81.38+U5/56.077+V5/61.979+W5/94.196+AJ5/18.015+1/2*N5/159.69+AK5/44.01+Y5/80.06/2+Z5/20/2+AA5/2/35.453),
IF((CH5="mol % oxide O"),Y5/80.06/2*100/(J5/60.084+K5/79.866+L5/101.961+M5/151.99+O5/71.844+2*N5/159.69+Q5/70.937+R5/40.304+S5/74.693+T5/81.38+U5/56.077+V5/61.979+W5/94.196+AJ5/18.015+N5/159.69+AK5/44.01+Y5/80.06/2+Z5/20/2+AA5/2/35.453),
IF((CH5="mol % oxide Fe2O3"),Y5/80.06/2*100/(J5/60.084+K5/79.866+L5/101.961+M5/151.99+O5/71.844+N5/159.69+Q5/70.937+R5/40.304+S5/74.693+T5/81.38+U5/56.077+V5/61.979+W5/94.196+AJ5/18.015+AK5/44.01+Y5/80.06/2+Z5/20/2+AA5/2/35.453),
IF((CH5="mineral oxide O2"),BY5,
IF((CH5=""),"",
)))))</f>
        <v>0</v>
      </c>
      <c r="CX5" s="81">
        <f>IF((CH5="mol % oxide O2"),Z5/2/20*100/(J5/60.084+K5/79.866+L5/101.961+M5/151.99+O5/71.844+2*N5/159.69+Q5/70.937+R5/40.304+S5/74.693+T5/81.38+U5/56.077+V5/61.979+W5/94.196+AJ5/18.015+1/2*N5/159.69+AK5/44.01+Y5/80.06/2+Z5/20/2+AA5/2/35.453),
IF((CH5="mol % oxide O"),Z5/2/20*100/(J5/60.084+K5/79.866+L5/101.961+M5/151.99+O5/71.844+2*N5/159.69+Q5/70.937+R5/40.304+S5/74.693+T5/81.38+U5/56.077+V5/61.979+W5/94.196+AJ5/18.015+N5/159.69+AK5/44.01+Y5/80.06/2+Z5/20/2+AA5/2/35.453),
IF((CH5="mol % oxide Fe2O3"),Z5/2/20*100/(J5/60.084+K5/79.866+L5/101.961+M5/151.99+O5/71.844+N5/159.69+Q5/70.937+R5/40.304+S5/74.693+T5/81.38+U5/56.077+V5/61.979+W5/94.196+AJ5/18.015+AK5/44.01+Y5/80.06/2+Z5/20/2+AA5/2/35.453),
IF((CH5="mineral oxide O2"),CA5,
IF((CH5=""),"",
)))))</f>
        <v>0</v>
      </c>
      <c r="CY5" s="81">
        <f>IF((CH5="mol % oxide O2"),AA5/2/35.453*100/(J5/60.084+K5/79.866+L5/101.961+M5/151.99+O5/71.844+2*N5/159.69+Q5/70.937+R5/40.304+S5/74.693+T5/81.38+U5/56.077+V5/61.979+W5/94.196+AJ5/18.015+1/2*N5/159.69+AK5/44.01+Y5/80.06/2+Z5/20/2+AA5/2/35.453),
IF((CH5="mol % oxide O"),AA5/2/35.453*100/(J5/60.084+K5/79.866+L5/101.961+M5/151.99+O5/71.844+2*N5/159.69+Q5/70.937+R5/40.304+S5/74.693+T5/81.38+U5/56.077+V5/61.979+W5/94.196+AJ5/18.015+N5/159.69+AK5/44.01+Y5/80.06/2+Z5/20/2+AA5/2/35.453),
IF((CH5="mol % oxide Fe2O3"),AA5/2/35.453*100/(J5/60.084+K5/79.866+L5/101.961+M5/151.99+O5/71.844+N5/159.69+Q5/70.937+R5/40.304+S5/74.693+T5/81.38+U5/56.077+V5/61.979+W5/94.196+AJ5/18.015+AK5/44.01+Y5/80.06/2+Z5/20/2+AA5/2/35.453),
IF((CH5="mineral oxide O2"),CB5,
IF((CH5=""),"",
)))))</f>
        <v>0</v>
      </c>
      <c r="CZ5" s="81">
        <f>IF((CH5="mol % oxide O2"),AJ5/18.015*100/(J5/60.084+K5/79.866+L5/101.961+M5/151.99+O5/71.844+2*N5/159.69+Q5/70.937+R5/40.304+S5/74.693+T5/81.38+U5/56.077+V5/61.979+W5/94.196+AJ5/18.015+1/2*N5/159.69),
IF((CH5="mol % oxide O"),AJ5/18.015*100/(J5/60.084+K5/79.866+L5/101.961+M5/151.99+O5/71.844+2*N5/159.69+Q5/70.937+R5/40.304+S5/74.693+T5/81.38+U5/56.077+V5/61.979+W5/94.196+AJ5/18.015+N5/159.69),
IF((CH5="mol % oxide Fe2O3"),AJ5/18.015*100/(J5/60.084+K5/79.866+L5/101.961+M5/151.99+O5/71.844+N5/159.69+Q5/70.937+R5/40.304+S5/74.693+T5/81.38+U5/56.077+V5/61.979+W5/94.196+AJ5/18.015),
IF((CH5="mineral oxide O2"),CC5,
IF((CH5=""),"",
)))))</f>
        <v>25.753608584438652</v>
      </c>
      <c r="DA5" s="81">
        <f>IF((CH5="mol % oxide O2"),1/2*N5/159.69*100/(J5/60.084+K5/79.866+L5/101.961+M5/151.99+O5/71.844+2*N5/159.69+Q5/70.937+R5/40.304+S5/74.693+T5/81.38+U5/56.077+V5/61.979+W5/94.196+AJ5/18.015+1/2*N5/159.69),
IF((CH5="mol % oxide O"),N5/159.69*100/(J5/60.084+K5/79.866+L5/101.961+M5/151.99+O5/71.844+2*N5/159.69+Q5/70.937+R5/40.304+S5/74.693+T5/81.38+U5/56.077+V5/61.979+W5/94.196+AJ5/18.015+N5/159.69),
IF((CH5="mol % oxide Fe2O3"),N5/159.69*100/(J5/60.084+K5/79.866+L5/101.961+M5/151.99+O5/71.844+N5/159.69+Q5/70.937+R5/40.304+S5/74.693+T5/81.38+U5/56.077+V5/61.979+W5/94.196+AJ5/18.015),
IF((CH5="mineral oxide O2"),BP5*1/4,
IF((CH5=""),"",
)))))</f>
        <v>3.752710725496413E-2</v>
      </c>
      <c r="DB5" s="81"/>
      <c r="DC5" s="67" t="s">
        <v>280</v>
      </c>
      <c r="DD5" s="60">
        <f>BK5*2</f>
        <v>14.997729964970109</v>
      </c>
      <c r="DE5" s="60">
        <f>BL5*2</f>
        <v>0</v>
      </c>
      <c r="DF5" s="67">
        <f>BM5*3/2</f>
        <v>1.2636136658282726</v>
      </c>
      <c r="DG5" s="67">
        <f>BN5*3/2</f>
        <v>7.3280273398005066E-2</v>
      </c>
      <c r="DH5" s="94" t="e">
        <f>BO5+BP5</f>
        <v>#VALUE!</v>
      </c>
      <c r="DI5" s="94">
        <f t="shared" ref="DI5" si="1">BQ5</f>
        <v>0</v>
      </c>
      <c r="DJ5" s="95">
        <f t="shared" ref="DJ5" si="2">BR5</f>
        <v>9.5162261366063952</v>
      </c>
      <c r="DK5" s="94">
        <f t="shared" ref="DK5" si="3">BS5</f>
        <v>0</v>
      </c>
      <c r="DL5" s="94">
        <f t="shared" ref="DL5" si="4">BT5</f>
        <v>0</v>
      </c>
      <c r="DM5" s="94">
        <f t="shared" ref="DM5" si="5">BU5</f>
        <v>0.62623762447099018</v>
      </c>
      <c r="DN5" s="94">
        <f t="shared" ref="DN5" si="6">BV5</f>
        <v>9.3897826343028679E-2</v>
      </c>
      <c r="DO5" s="94">
        <f t="shared" ref="DO5" si="7">BW5</f>
        <v>0</v>
      </c>
      <c r="DP5" s="94">
        <f>BX5*5/2</f>
        <v>0</v>
      </c>
      <c r="DQ5" s="94">
        <f>CC5</f>
        <v>6.6837369129189614</v>
      </c>
      <c r="DR5" s="94">
        <f>CD5*2</f>
        <v>34.354204032675511</v>
      </c>
    </row>
    <row r="6" spans="1:122" ht="16" customHeight="1">
      <c r="B6" s="57" t="s">
        <v>51</v>
      </c>
      <c r="C6" s="57" t="s">
        <v>345</v>
      </c>
      <c r="N6" s="58">
        <v>68.97</v>
      </c>
      <c r="O6" s="59">
        <f>31.03</f>
        <v>31.03</v>
      </c>
      <c r="P6" s="60">
        <f>N6*1/((159.69/71.844)/2)+O6</f>
        <v>93.08874732293819</v>
      </c>
      <c r="AF6" s="86">
        <v>100</v>
      </c>
      <c r="AH6" s="71">
        <f>IF(O6&lt;&gt;"",2*N6/159.69/(P6/71.844),0)</f>
        <v>0.66666218106520991</v>
      </c>
      <c r="AR6" s="124">
        <f>IF(O6&lt;&gt;"",SUM(R6,J6,L6,Q6,O6,N6,S6,T6,U6,K6,M6,AI6,AK6,V6,W6,Z6,AA6,AD6,AE6,Y6,X6),
IF(O6="",SUM(R6,J6,L6,Q6,P6,S6,T6,U6,K6,M6,AI6,AK6,V6,W6,Z6,AA6,AD6,AE6,Y6,X6),
))</f>
        <v>100</v>
      </c>
      <c r="AS6" s="126"/>
      <c r="AT6" s="126"/>
      <c r="AU6" s="140">
        <f>AL6</f>
        <v>0</v>
      </c>
      <c r="AV6" s="140">
        <f>AK6*(12.011/(12.011+2*15.999))*100/AR6</f>
        <v>0</v>
      </c>
      <c r="AW6" s="140">
        <f>IF(O6="",P6*(55.845/(55.845+15.999))*100/AR6,O6*(55.845/(55.845+15.999))*100/AR6)</f>
        <v>24.119903541005513</v>
      </c>
      <c r="AX6" s="140">
        <f>N6*(2*55.845/(2*55.845+3*15.999))*100/AR6</f>
        <v>48.239739615623058</v>
      </c>
      <c r="AY6" s="140">
        <f>AN6/10000*100/AR6</f>
        <v>0</v>
      </c>
      <c r="AZ6" s="140">
        <f>AO6/10000*100/AR6</f>
        <v>0</v>
      </c>
      <c r="BA6" s="140">
        <f>AP6/10000*100/AR6</f>
        <v>0</v>
      </c>
      <c r="BB6" s="126"/>
      <c r="BC6" s="68" t="s">
        <v>146</v>
      </c>
      <c r="BD6" s="124"/>
      <c r="BE6" s="96" t="s">
        <v>302</v>
      </c>
      <c r="BF6" s="124"/>
      <c r="BG6" s="50" t="str">
        <f>IF(AND(BE6="Anions",BC6="Amph"),23,
IF(AND(BE6="Cations",BC6="Amph"),CF6,
IF(AND(BE6="Anions",BC6="Mica"),11,
IF(AND(BE6="Cations",BC6="Mica"),CF6,
IF(AND(BE6="Anions",BC6="Ti-Chu"),17.5,
IF(AND(BE6="Cations",BC6="Ti-Chu"),CF6,
IF(AND(BE6="Anions",BC6="F-Ph"),11.5,
IF(AND(BE6="Cations",BC6="F-Ph"),CF6,
IF(AND(BE6="Anions",BC6="Pl"),8,
IF(AND(BE6="Cations",BC6="Pl"),CF6,
IF(AND(BE6="Anions",BC6="Dol"),2,
IF(AND(BE6="Cations",BC6="Dol"),CF6,
IF(AND(BE6="Anions",BC6="Cb"),1,
IF(AND(BE6="Cations",BC6="Cb"),CF6,
IF(AND(BE6="Anions",BC6="Br"),1,
IF(AND(BE6="Cations",BC6="Br"),CF6,
IF(AND(BE6="Anions",BC6="Liz"),7,
IF(AND(BE6="Cations",BC6="Liz"),CF6,
IF(AND(BE6="Anions",BC6="Ep"),12.5,
IF(AND(BE6="Cations",BC6="Ep"),CF6,
IF(AND(BE6="Anions",BC6="Chum"),17,
IF(AND(BE6="Cations",BC6="Chum"),CF6,
IF(AND(BE6="Anions",BC6="Ol"),4,
IF(AND(BE6="Cations",BC6="Ol"),CF6,
IF(AND(BE6="Anions",BC6="Opx"),6,
IF(AND(BE6="Cations",BC6="Opx"),CF6,
IF(AND(BE6="Anions",BC6="Tlc"),11,
IF(AND(BE6="Cations",BC6="Tlc"),CF6,
IF(AND(BE6="Anions",BC6="Tr"),23,
IF(AND(BE6="Cations",BC6="Tr"),CF6,
IF(AND(BE6="Anions",BC6="Atg"),6.824,
IF(AND(BE6="Cations",BC6="Atg"),CF6,
IF(AND(BE6="Anions",BC6="Chl"),14,
IF(AND(BE6="Cations",BC6="Chl"),CF6,
IF(AND(BE6="Anions",BC6="Cpx"),6,
IF(AND(BE6="Cations",BC6="Cpx"),CF6,
IF(AND(BE6="both",BC6="Cpx"),6,
IF(AND(BE6="Anions",BC6="Grt"),12,
IF(AND(BE6="Cations",BC6="Grt"),CF6,
IF(AND(BE6="both",BC6="Grt"),12,
IF(AND(BE6="Anions",BC6="Mag"),4,
IF(AND(BE6="Cations",BC6="Mag"),CF6,
IF(AND(BE6="both",BC6="Mag"),4,
IF(AND(BE6="Anions",BC6="Ti-Cho"),9.5,
IF(AND(BE6="Cations",BC6="Ti-Cho"),CF6,
IF(AND(BE6="Anions",BC6="Ilv"),8.5,
IF(AND(BE6="Cations",BC6="Ilv"),CF6,
IF(AND(BE6="both",BC6="Ilv"),8.5,
IF(AND(BE6="Anions",BC6="Hem"),3,
IF(AND(BE6="Cations",BC6="Hem"),CF6,
IF(AND(BE6="both",BC6="Hem"),3,
IF(AND(BE6="Anions",BC6="WR"),100,
IF(AND(BE6="mol/kg",BC6="WR"),"",
IF(AND(BE6="Cations",BC6="WR"),CF6
)))))))))))))))))))))))))))))))))))))))))))))))))))
)))</f>
        <v/>
      </c>
      <c r="BH6" s="50" t="str">
        <f>IF(AND(BE6="Anions",BC6="Amph"),CE6,
IF(AND(BE6="Cations",BC6="Amph"),15,
IF(AND(BE6="Anions",BC6="Mica"),CE6,
IF(AND(BE6="Cations",BC6="Mica"),7,
IF(AND(BE6="Anions",BC6="Ti-Chu"),CE6,
IF(AND(BE6="Cations",BC6="Ti-Chu"),13,
IF(AND(BE6="Anions",BC6="F-Ph"),CE6,
IF(AND(BE6="Cations",BC6="F-Ph"),8,
IF(AND(BE6="Anions",BC6="Pl"),CE6,
IF(AND(BE6="Cations",BC6="Pl"),5,
IF(AND(BE6="Anions",BC6="Dol"),CE6,
IF(AND(BE6="Cations",BC6="Dol"),2,
IF(AND(BE6="Anions",BC6="Cb"),CE6,
IF(AND(BE6="Cations",BC6="Cb"),1,
IF(AND(BE6="Anions",BC6="Br"),CE6,
IF(AND(BE6="Cations",BC6="Br"),1,
IF(AND(BE6="Anions",BC6="Liz"),CE6,
IF(AND(BE6="Cations",BC6="Liz"),5,
IF(AND(BE6="Anions",BC6="Ep"),CE6,
IF(AND(BE6="Cations",BC6="Ep"),8,
IF(AND(BE6="Anions",BC6="Chum"),CE6,
IF(AND(BE6="Cations",BC6="Chum"),13,
IF(AND(BE6="Anions",BC6="Ol"),CE6,
IF(AND(BE6="Cations",BC6="Ol"),3,
IF(AND(BE6="Anions",BC6="Opx"),CE6,
IF(AND(BE6="Cations",BC6="Opx"),4,
IF(AND(BE6="Anions",BC6="Tlc"),CE6,
IF(AND(BE6="Cations",BC6="Tlc"),7,
IF(AND(BE6="Anions",BC6="Tr"),CE6,
IF(AND(BE6="Cations",BC6="Tr"),15,
IF(AND(BE6="Anions",BC6="Atg"),CE6,
IF(AND(BE6="Cations",BC6="Atg"),4.825,
IF(AND(BE6="Anions",BC6="Chl"),CE6,
IF(AND(BE6="Cations",BC6="Chl"),10,
IF(AND(BE6="Anions",BC6="Cpx"),CE6,
IF(AND(BE6="Cations",BC6="Cpx"),4,
IF(AND(BE6="both",BC6="Cpx"),4,
IF(AND(BE6="Anions",BC6="Grt"),CE6,
IF(AND(BE6="Cations",BC6="Grt"),8,
IF(AND(BE6="both",BC6="Grt"),8,
IF(AND(BE6="Anions",BC6="Mag"),CE6,
IF(AND(BE6="Cations",BC6="Mag"),3,
IF(AND(BE6="both",BC6="Mag"),3,
IF(AND(BE6="Anions",BC6="Ti-Cho"),CE6,
IF(AND(BE6="Cations",BC6="Ti-Cho"),7,
IF(AND(BE6="Anions",BC6="Ilv"),CE6,
IF(AND(BE6="Cations",BC6="Ilv"),6,
IF(AND(BE6="both",BC6="Ilv"),6,
IF(AND(BE6="Anions",BC6="Hem"),CE6,
IF(AND(BE6="Cations",BC6="Hem"),2,
IF(AND(BE6="both",BC6="Hem"),2,
IF(AND(BE6="Anions",BC6="WR"),CE6,
IF(AND(BE6="mol/kg",BC6="WR"),"",
IF(AND(BE6="Cations",BC6="WR"),100,
))))))))))))))))))))))))))))))))))))))))))))))))
))))))</f>
        <v/>
      </c>
      <c r="BI6" s="51"/>
      <c r="BJ6" s="12"/>
      <c r="BK6" s="76">
        <f>IF(AND(O6&lt;&gt;"",BE6="Anions"),J6/60.08*BG6/(J6*2/60.08+K6*2/79.88+L6*3/101.96+M6*3/151.99+N6*3/159.69+O6/71.85+Q6/70.94+R6/40.3+S6/74.69+T6/81.38+U6/56.08+V6/61.98+W6/94.2+X6*5/141.944522+Y6*3/80.06+Z6/18.9984+AA6/35.453+AK6/44.01*2-AU6/12.011-AY6/32.065-2*AZ6/32.065+BA6*3/32.065+AJ6/18.01528),
IF(AND(O6&lt;&gt;"",BE6="mol/kg"),J6/60.08*10*100/AR6,
IF(AND(O6="",BE6="mol/kg"),J6/60.08*10*100/AR6,
IF(AND(O6="",BE6="Anions"),J6/60.08*BG6/(J6*2/60.08+K6*2/79.88+L6*3/101.96+M6*3/151.99+N6*3/159.69+P6/71.85+Q6/70.94+R6/40.3+S6/74.69+T6/81.38+U6/56.08+V6/61.98+W6/94.2+X6*5/141.944522+Y6*3/80.06+Z6/18.9984+AA6/35.453+AK6/44.01*2-AU6/12.011-AY6/32.065-2*AZ6/32.065+BA6*3/32.065+AJ6/18.01528),
))))</f>
        <v>0</v>
      </c>
      <c r="BL6" s="76">
        <f>IF(AND(O6&lt;&gt;"",BE6="Anions"),K6/79.88*BG6/(J6*2/60.08+K6*2/79.88+L6*3/101.96+M6*3/151.99+N6*3/159.69+O6/71.85+Q6/70.94+R6/40.3+S6/74.69+T6/81.38+U6/56.08+V6/61.98+W6/94.2+X6*5/141.944522+Y6*3/80.06+Z6/18.9984+AA6/35.453+AK6/44.01*2-AU6/12.011-AY6/32.065-2*AZ6/32.065+BA6*3/32.065+AJ6/18.01528),
IF(AND(O6&lt;&gt;"",BE6="mol/kg"),K6/79.88*10*100/AR6,
IF(AND(O6="",BE6="mol/kg"),K6/79.88*10*100/AR6,
IF(AND(O6="",BE6="Anions"),K6/79.88*BG6/(J6*2/60.08+K6*2/79.88+L6*3/101.96+M6*3/151.99+N6*3/159.69+P6/71.85+Q6/70.94+R6/40.3+S6/74.69+T6/81.38+U6/56.08+V6/61.98+W6/94.2+X6*5/141.944522+Y6*3/80.06+Z6/18.9984+AA6/35.453+AK6/44.01*2-AU6/12.011-AY6/32.065-2*AZ6/32.065+BA6*3/32.065+AJ6/18.01528),
))))</f>
        <v>0</v>
      </c>
      <c r="BM6" s="76">
        <f>IF(AND(O6&lt;&gt;"",BE6="Anions"),2*L6/101.96*BG6/(J6*2/60.08+K6*2/79.88+L6*3/101.96+M6*3/151.99+N6*3/159.69+O6/71.85+Q6/70.94+R6/40.3+S6/74.69+T6/81.38+U6/56.08+V6/61.98+W6/94.2+X6*5/141.944522+Y6*3/80.06+Z6/18.9984+AA6/35.453+AK6/44.01*2-AU6/12.011-AY6/32.065-2*AZ6/32.065+BA6*3/32.065+AJ6/18.01528),
IF(AND(O6&lt;&gt;"",BE6="mol/kg"),2*L6/101.96*10*100/AR6,
IF(AND(O6="",BE6="mol/kg"),2*L6/101.96*10*100/AR6,
IF(AND(O6="",BE6="Anions"),2*L6/101.96*BG6/(J6*2/60.08+K6*2/79.88+L6*3/101.96+M6*3/151.99+N6*3/159.69+P6/71.85+Q6/70.94+R6/40.3+S6/74.69+T6/81.38+U6/56.08+V6/61.98+W6/94.2+X6*5/141.944522+Y6*3/80.06+Z6/18.9984+AA6/35.453+AK6/44.01*2-AU6/12.011-AY6/32.065-2*AZ6/32.065+BA6*3/32.065+AJ6/18.01528),
))))</f>
        <v>0</v>
      </c>
      <c r="BN6" s="76">
        <f>IF(AND(O6&lt;&gt;"",BE6="Anions"),2*M6/151.99*BG6/(J6*2/60.08+K6*2/79.88+L6*3/101.96+M6*3/151.99+N6*3/159.69+O6/71.85+Q6/70.94+R6/40.3+S6/74.69+T6/81.38+U6/56.08+V6/61.98+W6/94.2+X6*5/141.944522+Y6*3/80.06+Z6/18.9984+AA6/35.453+AK6/44.01*2-AU6/12.011-AY6/32.065-2*AZ6/32.065+BA6*3/32.065+AJ6/18.01528),
IF(AND(O6&lt;&gt;"",BE6="mol/kg"),2*M6/151.99*10*100/AR6,
IF(AND(O6="",BE6="mol/kg"),2*M6/151.99*10*100/AR6,
IF(AND(O6="",BE6="Anions"),2*M6/151.99*BG6/(J6*2/60.08+K6*2/79.88+L6*3/101.96+M6*3/151.99+N6*3/159.69+P6/71.85+Q6/70.94+R6/40.3+S6/74.69+T6/81.38+U6/56.08+V6/61.98+W6/94.2+X6*5/141.944522+Y6*3/80.06+Z6/18.9984+AA6/35.453+AK6/44.01*2-AU6/12.011-AY6/32.065-2*AZ6/32.065+BA6*3/32.065+AJ6/18.01528),
))))</f>
        <v>0</v>
      </c>
      <c r="BO6" s="142">
        <f>IF(AND(O6&lt;&gt;"",BE6="Anions"),O6/71.85*BG6/(J6*2/60.08+K6*2/79.88+L6*3/101.96+M6*3/151.99+N6*3/159.69+O6/71.85+Q6/70.94+R6/40.3+S6/74.69+T6/81.38+U6/56.08+V6/61.98+W6/94.2+X6*5/141.944522+Y6*3/80.06+Z6/18.9984+AA6/35.453+AK6/44.01*2-AU6/12.011-AY6/32.065-2*AZ6/32.065+BA6*3/32.065+AJ6/18.01528),
IF(AND(O6&lt;&gt;"",BE6="mol/kg"),(O6/71.85+N6*2/159.69)*10*100/AR6,
IF(AND(O6="",BE6="mol/kg"),(P6/71.85)*10*100/AR6,
IF(AND(O6="",BE6="Anions"),P6/71.85*BG6/(J6*2/60.08+K6*2/79.88+L6*3/101.96+M6*3/151.99+N6*3/159.69+P6/71.85+Q6/70.94+R6/40.3+S6/74.69+T6/81.38+U6/56.08+V6/61.98+W6/94.2+X6*5/141.944522+Y6*3/80.06+Z6/18.9984+AA6/35.453+AK6/44.01*2-AU6/12.011-AY6/32.065-2*AZ6/32.065+BA6*3/32.065+AJ6/18.01528),
))))</f>
        <v>12.956705652692699</v>
      </c>
      <c r="BP6" s="77" t="str">
        <f>IF(AND(O6&lt;&gt;"",BE6="Anions"),N6*2/159.69*BG6/(J6*2/60.08+K6*2/79.88+L6*3/101.96+M6*3/151.99+N6*3/159.69+O6/71.85+Q6/70.94+R6/40.3+S6/74.69+T6/81.38+U6/56.08+V6/61.98+W6/94.2+X6*5/141.944522+Y6*3/80.06+Z6/18.9984+AA6/35.453+AK6/44.01*2-AU6/12.011-AY6/32.065-2*AZ6/32.065+BA6*3/32.065+AJ6/18.01528),
IF(AND(O6&lt;&gt;"",BE6="mol/kg"),"-",
IF(AND(O6="",BE6="mol/kg"),"-",
IF(AND(O6="",BE6="Anions"),N6*2/159.69*BG6/(J6*2/60.08+K6*2/79.88+L6*3/101.96+M6*3/151.99+N6*3/159.69+P6/71.85+Q6/70.94+R6/40.3+S6/74.69+T6/81.38+U6/56.08+V6/61.98+W6/94.2+X6*5/141.944522+Y6*3/80.06+Z6/18.9984+AA6/35.453+AK6/44.01*2-AU6/12.011-AY6/32.065-2*AZ6/32.065+BA6*3/32.065+AJ6/18.01528),
))))</f>
        <v>-</v>
      </c>
      <c r="BQ6" s="76">
        <f>IF(AND(O6&lt;&gt;"",BE6="Anions"),Q6/70.94*BG6/(J6*2/60.08+K6*2/79.88+L6*3/101.96+M6*3/151.99+N6*3/159.69+O6/71.85+Q6/70.94+R6/40.3+S6/74.69+T6/81.38+U6/56.08+V6/61.98+W6/94.2+X6*5/141.944522+Y6*3/80.06+Z6/18.9984+AA6/35.453+AK6/44.01*2-AU6/12.011-AY6/32.065-2*AZ6/32.065+BA6*3/32.065+AJ6/18.01528),
IF(AND(O6&lt;&gt;"",BE6="mol/kg"),Q6/70.94*10*100/AR6,
IF(AND(O6="",BE6="mol/kg"),Q6/70.94*10*100/AR6,
IF(AND(O6="",BE6="Anions"),Q6/70.94*BG6/(J6*2/60.08+K6*2/79.88+L6*3/101.96+M6*3/151.99+N6*3/159.69+P6/71.85+Q6/70.94+R6/40.3+S6/74.69+T6/81.38+U6/56.08+V6/61.98+W6/94.2+X6*5/141.944522+Y6*3/80.06+Z6/18.9984+AA6/35.453+AK6/44.01*2-AU6/12.011-AY6/32.065-2*AZ6/32.065+BA6*3/32.065+AJ6/18.01528),
))))</f>
        <v>0</v>
      </c>
      <c r="BR6" s="76">
        <f>IF(AND(O6&lt;&gt;"",BE6="Anions"),R6/40.3*BG6/(J6*2/60.08+K6*2/79.88+L6*3/101.96+M6*3/151.99+N6*3/159.69+O6/71.85+Q6/70.94+R6/40.3+S6/74.69+T6/81.38+U6/56.08+V6/61.98+W6/94.2+X6*5/141.944522+Y6*3/80.06+Z6/18.9984+AA6/35.453+AK6/44.01*2-AU6/12.011-AY6/32.065-2*AZ6/32.065+BA6*3/32.065+AJ6/18.01528),
IF(AND(O6&lt;&gt;"",BE6="mol/kg"),R6/40.3*10*100/AR6,
IF(AND(O6="",BE6="mol/kg"),R6/40.3*10*100/AR6,
IF(AND(O6="",BE6="Anions"),R6/40.3*BG6/(J6*2/60.08+K6*2/79.88+L6*3/101.96+M6*3/151.99+N6*3/159.69+P6/71.85+Q6/70.94+R6/40.3+S6/74.69+T6/81.38+U6/56.08+V6/61.98+W6/94.2+X6*5/141.944522+Y6*3/80.06+Z6/18.9984+AA6/35.453+AK6/44.01*2-AU6/12.011-AY6/32.065-2*AY6/32.065+AY6*3/32.065+AJ6/18.01528),
))))</f>
        <v>0</v>
      </c>
      <c r="BS6" s="76">
        <f>IF(AND(O6&lt;&gt;"",BE6="Anions"),S6/74.69*BG6/(J6*2/60.08+K6*2/79.88+L6*3/101.96+M6*3/151.99+N6*3/159.69+O6/71.85+Q6/70.94+R6/40.3+S6/74.69+T6/81.38+U6/56.08+V6/61.98+W6/94.2+X6*5/141.944522+Y6*3/80.06+Z6/18.9984+AA6/35.453+AK6/44.01*2-AU6/12.011-AY6/32.065-2*AZ6/32.065+BA6*3/32.065+AJ6/18.01528),
IF(AND(O6&lt;&gt;"",BE6="mol/kg"),S6/74.69*10*100/AR6,
IF(AND(O6="",BE6="mol/kg"),S6/74.69*10*100/AR6,
IF(AND(O6="",BE6="Anions"),S6/74.69*BG6/(J6*2/60.08+K6*2/79.88+L6*3/101.96+M6*3/151.99+N6*3/159.69+P6/71.85+Q6/70.94+R6/40.3+S6/74.69+T6/81.38+U6/56.08+V6/61.98+W6/94.2+X6*5/141.944522+Y6*3/80.06+Z6/18.9984+AA6/35.453+AK6/44.01*2-AU6/12.011-AY6/32.065-2*AZ6/32.065+BA6*3/32.065+AJ6/18.01528),
))))</f>
        <v>0</v>
      </c>
      <c r="BT6" s="76">
        <f>IF(AND(O6&lt;&gt;"",BE6="Anions"),T6/81.38*BG6/(J6*2/60.08+K6*2/79.88+L6*3/101.96+M6*3/151.99+N6*3/159.69+O6/71.85+Q6/70.94+R6/40.3+S6/74.69+T6/81.38+U6/56.08+V6/61.98+W6/94.2+X6*5/141.944522+Y6*3/80.06+Z6/18.9984+AA6/35.453+AK6/44.01*2-AU6/12.011-AY6/32.065-2*AZ6/32.065+BA6*3/32.065+AJ6/18.01528),
IF(AND(O6&lt;&gt;"",BE6="mol/kg"),T6/81.38*10*100/AR6,
IF(AND(O6="",BE6="mol/kg"),T6/81.38*10*100/AR6,
IF(AND(O6="",BE6="Anions"),T6/81.38*BG6/(J6*2/60.08+K6*2/79.88+L6*3/101.96+M6*3/151.99+N6*3/159.69+P6/71.85+Q6/70.94+R6/40.3+S6/74.69+T6/81.38+U6/56.08+V6/61.98+W6/94.2+X6*5/141.944522+Y6*3/80.06+Z6/18.9984+AA6/35.453+AK6/44.01*2-AU6/12.011-AY6/32.065-2*AZ6/32.065+BA6*3/32.065+AJ6/18.01528),
))))</f>
        <v>0</v>
      </c>
      <c r="BU6" s="76">
        <f>IF(AND(O6&lt;&gt;"",BE6="Anions"),U6/56.08*BG6/(J6*2/60.08+K6*2/79.88+L6*3/101.96+M6*3/151.99+N6*3/159.69+O6/71.85+Q6/70.94+R6/40.3+S6/74.69+T6/81.38+U6/56.08+V6/61.98+W6/94.2+X6*5/141.944522+Y6*3/80.06+Z6/18.9984+AA6/35.453+AK6/44.01*2-AU6/12.011-AY6/32.065-2*AZ6/32.065+BA6*3/32.065+AJ6/18.01528),
IF(AND(O6&lt;&gt;"",BE6="mol/kg"),U6/56.08*10*100/AR6,
IF(AND(O6="",BE6="mol/kg"),U6/56.08*10*100/AR6,
IF(AND(O6="",BE6="Anions"),U6/56.08*BG6/(J6*2/60.08+K6*2/79.88+L6*3/101.96+M6*3/151.99+N6*3/159.69+P6/71.85+Q6/70.94+R6/40.3+S6/74.69+T6/81.38+U6/56.08+V6/61.98+W6/94.2+X6*5/141.944522+Y6*3/80.06+Z6/18.9984+AA6/35.453+AK6/44.01*2-AU6/12.011-AY6/32.065-2*AY6/32.065+AY6*3/32.065+AJ6/18.01528),
))))</f>
        <v>0</v>
      </c>
      <c r="BV6" s="76">
        <f>IF(AND(O6&lt;&gt;"",BE6="Anions"),2*V6/61.98*BG6/(J6*2/60.08+K6*2/79.88+L6*3/101.96+M6*3/151.99+N6*3/159.69+O6/71.85+Q6/70.94+R6/40.3+S6/74.69+T6/81.38+U6/56.08+V6/61.98+W6/94.2+X6*5/141.944522+Y6*3/80.06+Z6/18.9984+AA6/35.453+AK6/44.01*2-AU6/12.011-AY6/32.065-2*AZ6/32.065+BA6*3/32.065+AJ6/18.01528),
IF(AND(O6&lt;&gt;"",BE6="mol/kg"),2*V6/61.98*10*100/AR6,
IF(AND(O6="",BE6="mol/kg"),2*V6/61.98*10*100/AR6,
IF(AND(O6="",BE6="Anions"),2*V6/61.98*BG6/(J6*2/60.08+K6*2/79.88+L6*3/101.96+M6*3/151.99+N6*3/159.69+P6/71.85+Q6/70.94+R6/40.3+S6/74.69+T6/81.38+U6/56.08+V6/61.98+W6/94.2+X6*5/141.944522+Y6*3/80.06+Z6/18.9984+AA6/35.453+AK6/44.01*2-AU6/12.011-AY6/32.065-2*AZ6/32.065+BA6*3/32.065+AJ6/18.01528),
))))</f>
        <v>0</v>
      </c>
      <c r="BW6" s="76">
        <f>IF(AND(O6&lt;&gt;"",BE6="Anions"),2*W6/94.2*BG6/(J6*2/60.08+K6*2/79.88+L6*3/101.96+M6*3/151.99+N6*3/159.69+O6/71.85+Q6/70.94+R6/40.3+S6/74.69+T6/81.38+U6/56.08+V6/61.98+W6/94.2+X6*5/141.944522+Y6*3/80.06+Z6/18.9984+AA6/35.453+AK6/44.01*2-AU6/12.011-AY6/32.065-2*AZ6/32.065+BA6*3/32.065+AJ6/18.01528),
IF(AND(O6&lt;&gt;"",BE6="mol/kg"),2*W6/94.2*10*100/AR6,
IF(AND(O6="",BE6="mol/kg"),2*W6/94.2*10*100/AR6,
IF(AND(O6="",BE6="Anions"),2*W6/94.2*BG6/(J6*2/60.08+K6*2/79.88+L6*3/101.96+M6*3/151.99+N6*3/159.69+P6/71.85+Q6/70.94+R6/40.3+S6/74.69+T6/81.38+U6/56.08+V6/61.98+W6/94.2+X6*5/141.944522+Y6*3/80.06+Z6/18.9984+AA6/35.453+AK6/44.01*2-AU6/12.011-AY6/32.065-2*AZ6/32.065+BA6*3/32.065+AJ6/18.01528),
))))</f>
        <v>0</v>
      </c>
      <c r="BX6" s="76">
        <f>IF(AND(O6&lt;&gt;"",BE6="Anions"),X6*2/141.944522*BG6/(J6*2/60.08+K6*2/79.88+L6*3/101.96+M6*3/151.99+N6*3/159.69+O6/71.85+Q6/70.94+R6/40.3+S6/74.69+T6/81.38+U6/56.08+V6/61.98+W6/94.2+X6*5/141.944522+Y6*3/80.06+Z6/18.9984+AA6/35.453+AK6/44.01*2-AU6/12.011-AY6/32.065-2*AZ6/32.065+BA6*3/32.065+AJ6/18.01528),
IF(AND(O6&lt;&gt;"",BE6="mol/kg"),X6*2/141.944522*10*100/AR6,
IF(AND(O6="",BE6="mol/kg"),X6*2/141.944522*10*100/AR6,
IF(AND(O6="",BE6="Anions"),X6*2/141.944522*BG6/(J6*2/60.08+K6*2/79.88+L6*3/101.96+M6*3/151.99+N6*3/159.69+P6/71.85+Q6/70.94+R6/40.3+S6/74.69+T6/81.38+U6/56.08+V6/61.98+W6/94.2+X6*5/141.944522+Y6*3/80.06+Z6/18.9984+AA6/35.453+AK6/44.01*2-AU6/12.011-AY6/32.065-2*AZ6/32.065+BA6*3/32.065+AJ6/18.01528),
))))</f>
        <v>0</v>
      </c>
      <c r="BY6" s="76">
        <f>IF(AND(O6&lt;&gt;"",BE6="Anions"),(AK6/44.01+AL6/12.011)*BG6/(J6*2/60.08+K6*2/79.88+L6*3/101.96+M6*3/151.99+N6*3/159.69+O6/71.85+Q6/70.94+R6/40.3+S6/74.69+T6/81.38+U6/56.08+V6/61.98+W6/94.2+X6*5/141.944522+Y6*3/80.06+Z6/18.9984+AA6/35.453+AK6/44.01*2-AU6/12.011-AY6/32.065-2*AZ6/32.065+BA6*3/32.065+AJ6/18.01528),
IF(AND(O6&lt;&gt;"",BE6="mol/kg"),(AK6*(12.011/(12.011+31.999))+AL6)/12.011*10*100/AR6,
IF(AND(O6="",BE6="mol/kg"),(AK6*(12.011/(12.011+31.999))+AL6)/12.011*10*100/AR6,
IF(AND(O6="",BE6="Anions"),(AK6/44.01+AL6/12.011)*BG6/(J6*2/60.08+K6*2/79.88+L6*3/101.96+M6*3/151.99+N6*3/159.69+P6/71.85+Q6/70.94+R6/40.3+S6/74.69+T6/81.38+U6/56.08+V6/61.98+W6/94.2+X6*5/141.944522+Y6*3/80.06+Z6/18.9984+AA6/35.453+AK6/44.01*2-AU6/12.011-AY6/32.065-2*AZ6/32.065+BA6*3/32.065+AJ6/18.01528),
))))</f>
        <v>0</v>
      </c>
      <c r="BZ6" s="76">
        <f>IF(AND(O6&lt;&gt;"",BE6="Anions"),Y6/32.06/2*BG6/(J6*2/60.08+K6*2/79.88+L6*3/101.96+M6*3/151.99+N6*3/159.69+O6/71.85+Q6/70.94+R6/40.3+S6/74.69+T6/81.38+U6/56.08+V6/61.98+W6/94.2+X6*5/141.944522+Y6*3/80.06+Z6/18.9984+AA6/35.453+AK6/44.01*2-AU6/12.011-AY6/32.065-2*AZ6/32.065+BA6*3/32.065+AJ6/18.01528),
IF(AND(O6&lt;&gt;"",BE6="mol/kg"),Y6/32.06/2*10*100/AR6,
IF(AND(O6="",BE6="mol/kg"),Y6/32.06/2*10*100/AR6,
IF(AND(O6="",BE6="Anions"),Y6/32.06/2*BG6/(J6*2/60.08+K6*2/79.88+L6*3/101.96+M6*3/151.99+N6*3/159.69+P6/71.85+Q6/70.94+R6/40.3+S6/74.69+T6/81.38+U6/56.08+V6/61.98+W6/94.2+X6*5/141.944522+Y6*3/80.06+Z6/18.9984+AA6/35.453+AK6/44.01*2-AU6/12.011-AY6/32.065-2*AZ6/32.065+BA6*3/32.065+AJ6/18.01528),
))))</f>
        <v>0</v>
      </c>
      <c r="CA6" s="78">
        <f>IF(AND(O6&lt;&gt;"",BE6="Anions"),Z6/18.9984*BG6/(J6*2/60.08+K6*2/79.88+L6*3/101.96+M6*3/151.99+N6*3/159.69+O6/71.85+Q6/70.94+R6/40.3+S6/74.69+T6/81.38+U6/56.08+V6/61.98+W6/94.2+X6*5/141.944522+Y6*3/80.06+Z6/18.9984+AA6/35.453+AK6/44.01*2-AU6/12.011-AY6/32.065-2*AZ6/32.065+BA6*3/32.065+AJ6/18.01528),
IF(AND(O6&lt;&gt;"",BE6="mol/kg"),Z6/18.9984*10*100/AR6,
IF(AND(O6="",BE6="mol/kg"),Z6/18.9984*10*100/AR6,
IF(AND(O6="",BE6="Anions"),Z6/18.9984*BG6/(J6*2/60.08+K6*2/79.88+L6*3/101.96+M6*3/151.99+N6*3/159.69+P6/71.85+Q6/70.94+R6/40.3+S6/74.69+T6/81.38+U6/56.08+V6/61.98+W6/94.2+X6*5/141.944522+Y6*3/80.06+Z6/18.9984+AA6/35.453+AK6/44.01*2-AU6/12.011-AY6/32.065-2*AZ6/32.065+BA6*3/32.065+AJ6/18.01528),
))))</f>
        <v>0</v>
      </c>
      <c r="CB6" s="76">
        <f>IF(AND(O6&lt;&gt;"",BE6="Anions"),AA6/35.453*BG6/(J6*2/60.08+K6*2/79.88+L6*3/101.96+M6*3/151.99+N6*3/159.69+O6/71.85+Q6/70.94+R6/40.3+S6/74.69+T6/81.38+U6/56.08+V6/61.98+W6/94.2+X6*5/141.944522+Y6*3/80.06+Z6/18.9984+AA6/35.453+AK6/44.01*2-AU6/12.011-AY6/32.065-2*AZ6/32.065+BA6*3/32.065+AJ6/18.01528),
IF(AND(O6&lt;&gt;"",BE6="mol/kg"),AA6/35.453*10*100/AR6,
IF(AND(O6="",BE6="mol/kg"),AA6/35.453*10*100/AR6,
IF(AND(O6="",BE6="Anions"),AA6/35.453*BG6/(J6*2/60.08+K6*2/79.88+L6*3/101.96+M6*3/151.99+N6*3/159.69+P6/71.85+Q6/70.94+R6/40.3+S6/74.69+T6/81.38+U6/56.08+V6/61.98+W6/94.2+X6*5/141.944522+Y6*3/80.06+Z6/18.9984+AA6/35.453+AK6/44.01*2-AU6/12.011-AY6/32.065-2*AZ6/32.065+BA6*3/32.065+AJ6/18.01528),
))))</f>
        <v>0</v>
      </c>
      <c r="CC6" s="76">
        <f>IF(AND(O6&lt;&gt;"",BE6="Anions"),AJ6/18.01528*BG6/(J6*2/60.08+K6*2/79.88+L6*3/101.96+M6*3/151.99+N6*3/159.69+O6/71.85+Q6/70.94+R6/40.3+S6/74.69+T6/81.38+U6/56.08+V6/61.98+W6/94.2+X6*5/141.944522+Y6*3/80.06+Z6/18.9984+AA6/35.453+AK6/44.01*2-AU6/12.011-AY6/32.065-2*AZ6/32.065+BA6*3/32.065+AJ6/18.01528),
IF(AND(O6&lt;&gt;"",BE6="mol/kg"),AJ6/18.01528*10*100/AR6,
IF(AND(O6="",BE6="mol/kg"),AJ6/18.01528*10*100/AR6,
IF(AND(O6="",BE6="Anions"),AJ6/18.01528*BG6/(J6*2/60.08+K6*2/79.88+L6*3/101.96+M6*3/151.99+N6*3/159.69+P6/71.85+Q6/70.94+R6/40.3+S6/74.69+T6/81.38+U6/56.08+V6/61.98+W6/94.2+X6*5/141.944522+Y6*3/80.06+Z6/18.9984+AA6/35.453+AK6/44.01*2-AU6/12.011-AY6/32.065-2*AZ6/32.065+BA6*3/32.065+AJ6/18.01528),
))))</f>
        <v>0</v>
      </c>
      <c r="CD6" s="76">
        <f>IF(AND(O6&lt;&gt;"",BE6="Anions"),1/2*(BK6*2+BL6*2+BM6*3/2+BN6*3/2+BO6+BP6*3/2+BQ6+BR6+BS6+BT6+BU6+BV6/2+BW6/2+BX6*5+BY6*2+CC6),
IF(AND(O6="",BE6="Anions"),1/2*(BK6*2+BL6*2+BM6*3/2+BN6*3/2+BO6+BP6*3/2+BQ6+BR6+BS6+BT6+BU6+BV6/2+BW6/2+BX6*5+BY6*2+CC6),
IF(AND(O6&lt;&gt;"",BE6="mol/kg"),BK6+BL6+BM6*3/4+BN6*3/4+AW6/55.845*10/2+AX6/55.845*10*3/4+BR6/2+BS6/2+BT6/2+BU6/2+BV6/4+BW6/4+BX6*5/4+AV6/12*10-AY6/2/32.065*10-AZ6/4/32.065*10+BA6/32.065*10*3/2+CC6/2,
IF(AND(O6="",BE6="mol/kg"),BK6+BL6+BM6*3/4+BN6*3/4+AW6/55.845*10/2+AX6/55.845*10*3/4+BR6/2+BS6/2+BT6/2+BU6/2+BV6/4+BW6/4+BX6*5/4+AV6/12*10-AY6/2/32.065*10-AZ6/4/32.065*10+BA6/32.065*10*3/2+CC6/2,
))))</f>
        <v>8.6381513980159461</v>
      </c>
      <c r="CE6" s="12">
        <f>SUM(BK6:BY6,2*CC6)</f>
        <v>12.956705652692699</v>
      </c>
      <c r="CF6" s="12">
        <f>IF(BE6="mol/kg",CA6+CB6+2*CD6,
BK6*2+BL6*2+BM6*3/2+BN6*3/2+BO6+BP6*3/2+BQ6+BR6+BS6+BT6+BU6+BV6/2+BW6/2+BX6*5+BY6*2 + CA6+CB6+CC6- 3*AL6/12.011*BG6/(J6*2/60.08+K6*2/79.88+L6*3/101.96+M6*3/151.99+N6*3/159.69+O6/71.85+Q6/70.94+R6/40.3+S6/74.69+T6/81.38+U6/56.08+V6/61.98+W6/94.2+X6*5/141.944522+Y6*3/80.06+Z6/18.9984+AA6/35.453+AK6/44.01*2-AU6/12.011-AY6/32.065-2*AZ6/32.065+BA6*3/32.065+AJ6/18.01528))</f>
        <v>17.276302796031892</v>
      </c>
      <c r="CG6" s="12"/>
      <c r="CH6" s="67" t="str">
        <f>"mol % oxide O2"</f>
        <v>mol % oxide O2</v>
      </c>
      <c r="CI6" s="81">
        <f>IF((CH6="mol % oxide O2"),J6/60.084*100/(J6/60.084+K6/79.866+L6/101.961+M6/151.99+O6/71.844+2*N6/159.69+Q6/70.937+R6/40.304+S6/74.693+T6/81.38+U6/56.077+V6/61.979+W6/94.196+AJ6/18.015+1/2*N6/159.69),
IF((CH6="wt % oxide O2"),J6/60.084*100/(J6/60.084+K6/79.866+L6/101.961+M6/151.99+O6/71.844+2*N6/159.69+Q6/70.937+R6/40.304+S6/74.693+T6/81.38+U6/56.077+V6/61.979+W6/94.196+AJ6/18.015+1/2*N6/159.69),
IF((CH6="mol % oxide O"),J6/60.084*100/(J6/60.084+K6/79.866+L6/101.961+M6/151.99+O6/71.844+2*N6/159.69+Q6/70.937+R6/40.304+S6/74.693+T6/81.38+U6/56.077+V6/61.979+W6/94.196+AJ6/18.015+N6/159.69),
IF((CH6="mol % oxide Fe2O3"),J6/60.084*100/(J6/60.084+K6/79.866+L6/101.961+M6/151.99+O6/71.844+N6/159.69+Q6/70.937+R6/40.304+S6/74.693+T6/81.38+U6/56.077+V6/61.979+W6/94.196+AJ6/18.015),
IF((CH6="mineral oxide O2"),BK6,
IF((CH6=""),"",
))))))</f>
        <v>0</v>
      </c>
      <c r="CJ6" s="81">
        <f>IF((CH6="mol % oxide O2"),K6/79.866*100/(J6/60.084+K6/79.866+L6/101.961+M6/151.99+O6/71.844+2*N6/159.69+Q6/70.937+R6/40.304+S6/74.693+T6/81.38+U6/56.077+V6/61.979+W6/94.196+AJ6/18.015+1/2*N6/159.69),
IF((CH6="mol % oxide O"),K6/79.866*100/(J6/60.084+K6/79.866+L6/101.961+M6/151.99+O6/71.844+2*N6/159.69+Q6/70.937+R6/40.304+S6/74.693+T6/81.38+U6/56.077+V6/61.979+W6/94.196+AJ6/18.015+N6/159.69),
IF((CH6="mol % oxide Fe2O3"),K6/79.866*100/(J6/60.084+K6/79.866+L6/101.961+M6/151.99+O6/71.844+N6/159.69+Q6/70.937+R6/40.304+S6/74.693+T6/81.38+U6/56.077+V6/61.979+W6/94.196+AJ6/18.015),
IF((CH6="mineral oxide O2"),BL6,
IF((CH6=""),"",
)))))</f>
        <v>0</v>
      </c>
      <c r="CK6" s="81">
        <f>IF((CH6="mol % oxide O2"),L6/101.961*100/(J6/60.084+K6/79.866+L6/101.961+M6/151.99+O6/71.844+2*N6/159.69+Q6/70.937+R6/40.304+S6/74.693+T6/81.38+U6/56.077+V6/61.979+W6/94.196+AJ6/18.015+1/2*N6/159.69),
IF((CH6="mol % oxide O"),L6/101.961*100/(J6/60.084+K6/79.866+L6/101.961+M6/151.99+O6/71.844+2*N6/159.69+Q6/70.937+R6/40.304+S6/74.693+T6/81.38+U6/56.077+V6/61.979+W6/94.196+AJ6/18.015+N6/159.69),
IF((CH6="mol % oxide Fe2O3"),L6/101.961*100/(J6/60.084+K6/79.866+L6/101.961+M6/151.99+O6/71.844+N6/159.69+Q6/70.937+R6/40.304+S6/74.693+T6/81.38+U6/56.077+V6/61.979+W6/94.196+AJ6/18.015),
IF((CH6="mineral oxide O2"),BM6/2,
IF((CH6=""),"",
)))))</f>
        <v>0</v>
      </c>
      <c r="CL6" s="81">
        <f>IF((CH6="mol % oxide O2"),M6/151.99*100/(J6/60.084+K6/79.866+L6/101.961+M6/151.99+O6/71.844+2*N6/159.69+Q6/70.937+R6/40.304+S6/74.693+T6/81.38+U6/56.077+V6/61.979+W6/94.196+AJ6/18.015+1/2*N6/159.69),
IF((CH6="mol % oxide O"),M6/151.99*100/(J6/60.084+K6/79.866+L6/101.961+M6/151.99+O6/71.844+2*N6/159.69+Q6/70.937+R6/40.304+S6/74.693+T6/81.38+U6/56.077+V6/61.979+W6/94.196+AJ6/18.015+N6/159.69),
IF((CH6="mol % oxide Fe2O3"),M6/151.99*100/(J6/60.084+K6/79.866+L6/101.961+M6/151.99+O6/71.844+N6/159.69+Q6/70.937+R6/40.304+S6/74.693+T6/81.38+U6/56.077+V6/61.979+W6/94.196+AJ6/18.015),
IF((CH6="mineral oxide O2"),BN6/2,
IF((CH6=""),"",
)))))</f>
        <v>0</v>
      </c>
      <c r="CM6" s="81">
        <f>IF((CH6="mol % oxide O2"),(O6/71.844+2*N6/159.69)*100/(J6/60.084+K6/79.866+L6/101.961+M6/151.99+O6/71.844+2*N6/159.69+Q6/70.937+R6/40.304+S6/74.693+T6/81.38+U6/56.077+V6/61.979+W6/94.196+AJ6/18.015+1/2*N6/159.69),
IF((CH6="mol % oxide O"),(O6/71.844+2*N6/159.69)*100/(J6/60.084+K6/79.866+L6/101.961+M6/151.99+O6/71.844+2*N6/159.69+Q6/70.937+R6/40.304+S6/74.693+T6/81.38+U6/56.077+V6/61.979+W6/94.196+AJ6/18.015+N6/159.69),
IF((CH6="mol % oxide Fe2O3"),O6/71.844*100/(J6/60.084+K6/79.866+L6/101.961+M6/151.99+O6/71.844+N6/159.69+Q6/70.937+R6/40.304+S6/74.693+T6/81.38+U6/56.077+V6/61.979+W6/94.196+AJ6/18.015),
IF((CH6="mineral oxide O2"),BP6+BO6,
IF((CH6=""),"",
)))))</f>
        <v>85.714368102963078</v>
      </c>
      <c r="CN6" s="81">
        <f>IF((CH6="mol % oxide O2"),Q6/70.937*100/(J6/60.084+K6/79.866+L6/101.961+M6/151.99+O6/71.844+2*N6/159.69+Q6/70.937+R6/40.304+S6/74.693+T6/81.38+U6/56.077+V6/61.979+W6/94.196+AJ6/18.015+1/2*N6/159.69),
IF((CH6="mol % oxide O"),Q6/70.937*100/(J6/60.084+K6/79.866+L6/101.961+M6/151.99+O6/71.844+2*N6/159.69+Q6/70.937+R6/40.304+S6/74.693+T6/81.38+U6/56.077+V6/61.979+W6/94.196+AJ6/18.015+N6/159.69),
IF((CH6="mol % oxide Fe2O3"),Q6/70.937*100/(J6/60.084+K6/79.866+L6/101.961+M6/151.99+O6/71.844+N6/159.69+Q6/70.937+R6/40.304+S6/74.693+T6/81.38+U6/56.077+V6/61.979+W6/94.196+AJ6/18.015),
IF((CH6="mineral oxide O2"),BQ6,
IF((CH6=""),"",
)))))</f>
        <v>0</v>
      </c>
      <c r="CO6" s="81">
        <f>IF((CH6="mol % oxide O2"),R6/40.304*100/(J6/60.084+K6/79.866+L6/101.961+M6/151.99+O6/71.844+2*N6/159.69+Q6/70.937+R6/40.304+S6/74.693+T6/81.38+U6/56.077+V6/61.979+W6/94.196+AJ6/18.015+1/2*N6/159.69),
IF((CH6="mol % oxide O"),R6/40.304*100/(J6/60.084+K6/79.866+L6/101.961+M6/151.99+O6/71.844+2*N6/159.69+Q6/70.937+R6/40.304+S6/74.693+T6/81.38+U6/56.077+V6/61.979+W6/94.196+AJ6/18.015+N6/159.69),
IF((CH6="mol % oxide Fe2O3"),R6/40.304*100/(J6/60.084+K6/79.866+L6/101.961+M6/151.99+O6/71.844+N6/159.69+Q6/70.937+R6/40.304+S6/74.693+T6/81.38+U6/56.077+V6/61.979+W6/94.196+AJ6/18.015),
IF((CH6="mineral oxide O2"),BR6,
IF((CH6=""),"",
)))))</f>
        <v>0</v>
      </c>
      <c r="CP6" s="81">
        <f>IF((CH6="mol % oxide O2"),S6/74.693*100/(J6/60.084+K6/79.866+L6/101.961+M6/151.99+O6/71.844+2*N6/159.69+Q6/70.937+R6/40.304+S6/74.693+T6/81.38+U6/56.077+V6/61.979+W6/94.196+AJ6/18.015+1/2*N6/159.69),
IF((CH6="mol % oxide O"),S6/74.693*100/(J6/60.084+K6/79.866+L6/101.961+M6/151.99+O6/71.844+2*N6/159.69+Q6/70.937+R6/40.304+S6/74.693+T6/81.38+U6/56.077+V6/61.979+W6/94.196+AJ6/18.015+N6/159.69),
IF((CH6="mol % oxide Fe2O3"),S6/74.693*100/(J6/60.084+K6/79.866+L6/101.961+M6/151.99+O6/71.844+N6/159.69+Q6/70.937+R6/40.304+S6/74.693+T6/81.38+U6/56.077+V6/61.979+W6/94.196+AJ6/18.015),
IF((CH6="mineral oxide O2"),BS6,
IF((CH6=""),"",
)))))</f>
        <v>0</v>
      </c>
      <c r="CQ6" s="81">
        <f>IF((CH6="mol % oxide O2"),T6/81.38*100/(J6/60.084+K6/79.866+L6/101.961+M6/151.99+O6/71.844+2*N6/159.69+Q6/70.937+R6/40.304+S6/74.693+T6/81.38+U6/56.077+V6/61.979+W6/94.196+AJ6/18.015+1/2*N6/159.69),
IF((CH6="mol % oxide O"),T6/81.38*100/(J6/60.084+K6/79.866+L6/101.961+M6/151.99+O6/71.844+2*N6/159.69+Q6/70.937+R6/40.304+S6/74.693+T6/81.38+U6/56.077+V6/61.979+W6/94.196+AJ6/18.015+N6/159.69),
IF((CH6="mol % oxide Fe2O3"),T6/81.38*100/(J6/60.084+K6/79.866+L6/101.961+M6/151.99+O6/71.844+N6/159.69+Q6/70.937+R6/40.304+S6/74.693+T6/81.38+U6/56.077+V6/61.979+W6/94.196+AJ6/18.015),
IF((CH6="mineral oxide O2"),BT6,
IF((CH6=""),"",
)))))</f>
        <v>0</v>
      </c>
      <c r="CR6" s="81">
        <f>IF((CH6="mol % oxide O2"),U6/56.077*100/(J6/60.084+K6/79.866+L6/101.961+M6/151.99+O6/71.844+2*N6/159.69+Q6/70.937+R6/40.304+S6/74.693+T6/81.38+U6/56.077+V6/61.979+W6/94.196+AJ6/18.015+1/2*N6/159.69),
IF((CH6="mol % oxide O"),U6/56.077*100/(J6/60.084+K6/79.866+L6/101.961+M6/151.99+O6/71.844+2*N6/159.69+Q6/70.937+R6/40.304+S6/74.693+T6/81.38+U6/56.077+V6/61.979+W6/94.196+AJ6/18.015+N6/159.69),
IF((CH6="mol % oxide Fe2O3"),U6/56.077*100/(J6/60.084+K6/79.866+L6/101.961+M6/151.99+O6/71.844+N6/159.69+Q6/70.937+R6/40.304+S6/74.693+T6/81.38+U6/56.077+V6/61.979+W6/94.196+AJ6/18.015),
IF((CH6="mineral oxide O2"),BU6,
IF((CH6=""),"",
)))))</f>
        <v>0</v>
      </c>
      <c r="CS6" s="81">
        <f>IF((CH6="mol % oxide O2"),V6/61.979*100/(J6/60.084+K6/79.866+L6/101.961+M6/151.99+O6/71.844+2*N6/159.69+Q6/70.937+R6/40.304+S6/74.693+T6/81.38+U6/56.077+V6/61.979+W6/94.196+AJ6/18.015+1/2*N6/159.69),
IF((CH6="mol % oxide O"),V6/61.979*100/(J6/60.084+K6/79.866+L6/101.961+M6/151.99+O6/71.844+2*N6/159.69+Q6/70.937+R6/40.304+S6/74.693+T6/81.38+U6/56.077+V6/61.979+W6/94.196+AJ6/18.015+N6/159.69),
IF((CH6="mol % oxide Fe2O3"),V6/61.979*100/(J6/60.084+K6/79.866+L6/101.961+M6/151.99+O6/71.844+N6/159.69+Q6/70.937+R6/40.304+S6/74.693+T6/81.38+U6/56.077+V6/61.979+W6/94.196+AJ6/18.015),
IF((CH6="mineral oxide O2"),BV6/2,
IF((CH6=""),"",
)))))</f>
        <v>0</v>
      </c>
      <c r="CT6" s="81">
        <f>IF((CH6="mol % oxide O2"),W6/94.196*100/(J6/60.084+K6/79.866+L6/101.961+M6/151.99+O6/71.844+2*N6/159.69+Q6/70.937+R6/40.304+S6/74.693+T6/81.38+U6/56.077+V6/61.979+W6/94.196+AJ6/18.015+1/2*N6/159.69),
IF((CH6="mol % oxide O"),W6/94.196*100/(J6/60.084+K6/79.866+L6/101.961+M6/151.99+O6/71.844+2*N6/159.69+Q6/70.937+R6/40.304+S6/74.693+T6/81.38+U6/56.077+V6/61.979+W6/94.196+AJ6/18.015+N6/159.69),
IF((CH6="mol % oxide Fe2O3"),W6/94.196*100/(J6/60.084+K6/79.866+L6/101.961+M6/151.99+O6/71.844+N6/159.69+Q6/70.937+R6/40.304+S6/74.693+T6/81.38+U6/56.077+V6/61.979+W6/94.196+AJ6/18.015),
IF((CH6="mineral oxide O2"),BW6/2,
IF((CH6=""),"",
)))))</f>
        <v>0</v>
      </c>
      <c r="CU6" s="81">
        <f>IF((CH6="mol % oxide O2"),X6/141.943*100/(J6/60.084+K6/79.866+L6/101.961+M6/151.99+O6/71.844+2*N6/159.69+Q6/70.937+R6/40.304+S6/74.693+T6/81.38+U6/56.077+V6/61.979+W6/94.196+AJ6/18.015+1/2*N6/159.69),
IF((CH6="mol % oxide O"),X6/141.943*100/(J6/60.084+K6/79.866+L6/101.961+M6/151.99+O6/71.844+2*N6/159.69+Q6/70.937+R6/40.304+S6/74.693+T6/81.38+U6/56.077+V6/61.979+W6/94.196+AJ6/18.015+N6/159.69),
IF((CH6="mol % oxide Fe2O3"),X6/141.943*100/(J6/60.084+K6/79.866+L6/101.961+M6/151.99+O6/71.844+N6/159.69+Q6/70.937+R6/40.304+S6/74.693+T6/81.38+U6/56.077+V6/61.979+W6/94.196+AJ6/18.015),
IF((CH6="mineral oxide O2"),BX6/2,
IF((CH6=""),"",
)))))</f>
        <v>0</v>
      </c>
      <c r="CV6" s="81">
        <f>IF((CH6="mol % oxide O2"),AK6/44.01*100/(J6/60.084+K6/79.866+L6/101.961+M6/151.99+O6/71.844+2*N6/159.69+Q6/70.937+R6/40.304+S6/74.693+T6/81.38+U6/56.077+V6/61.979+W6/94.196+AJ6/18.015+1/2*N6/159.69+AK6/44.01+Y6/80.06/2+Z6/20/2+AA6/2/35.453),
IF((CH6="mol % oxide O"),AK6/44.01*100/(J6/60.084+K6/79.866+L6/101.961+M6/151.99+O6/71.844+2*N6/159.69+Q6/70.937+R6/40.304+S6/74.693+T6/81.38+U6/56.077+V6/61.979+W6/94.196+AJ6/18.015+N6/159.69+AK6/44.01+Y6/80.06/2+Z6/20/2+AA6/2/35.453),
IF((CH6="mol % oxide Fe2O3"),AK6/44.01*100/(J6/60.084+K6/79.866+L6/101.961+M6/151.99+O6/71.844+N6/159.69+Q6/70.937+R6/40.304+S6/74.693+T6/81.38+U6/56.077+V6/61.979+W6/94.196+AJ6/18.015+AK6/44.01+Y6/80.06/2+Z6/20/2+AA6/2/35.453),
IF((CH6="mineral oxide O2"),BY6,
IF((CH6=""),"",
)))))</f>
        <v>0</v>
      </c>
      <c r="CW6" s="81">
        <f>IF((CH6="mol % oxide O2"),Y6/80.06/2*100/(J6/60.084+K6/79.866+L6/101.961+M6/151.99+O6/71.844+2*N6/159.69+Q6/70.937+R6/40.304+S6/74.693+T6/81.38+U6/56.077+V6/61.979+W6/94.196+AJ6/18.015+1/2*N6/159.69+AK6/44.01+Y6/80.06/2+Z6/20/2+AA6/2/35.453),
IF((CH6="mol % oxide O"),Y6/80.06/2*100/(J6/60.084+K6/79.866+L6/101.961+M6/151.99+O6/71.844+2*N6/159.69+Q6/70.937+R6/40.304+S6/74.693+T6/81.38+U6/56.077+V6/61.979+W6/94.196+AJ6/18.015+N6/159.69+AK6/44.01+Y6/80.06/2+Z6/20/2+AA6/2/35.453),
IF((CH6="mol % oxide Fe2O3"),Y6/80.06/2*100/(J6/60.084+K6/79.866+L6/101.961+M6/151.99+O6/71.844+N6/159.69+Q6/70.937+R6/40.304+S6/74.693+T6/81.38+U6/56.077+V6/61.979+W6/94.196+AJ6/18.015+AK6/44.01+Y6/80.06/2+Z6/20/2+AA6/2/35.453),
IF((CH6="mineral oxide O2"),BY6,
IF((CH6=""),"",
)))))</f>
        <v>0</v>
      </c>
      <c r="CX6" s="81">
        <f>IF((CH6="mol % oxide O2"),Z6/2/20*100/(J6/60.084+K6/79.866+L6/101.961+M6/151.99+O6/71.844+2*N6/159.69+Q6/70.937+R6/40.304+S6/74.693+T6/81.38+U6/56.077+V6/61.979+W6/94.196+AJ6/18.015+1/2*N6/159.69+AK6/44.01+Y6/80.06/2+Z6/20/2+AA6/2/35.453),
IF((CH6="mol % oxide O"),Z6/2/20*100/(J6/60.084+K6/79.866+L6/101.961+M6/151.99+O6/71.844+2*N6/159.69+Q6/70.937+R6/40.304+S6/74.693+T6/81.38+U6/56.077+V6/61.979+W6/94.196+AJ6/18.015+N6/159.69+AK6/44.01+Y6/80.06/2+Z6/20/2+AA6/2/35.453),
IF((CH6="mol % oxide Fe2O3"),Z6/2/20*100/(J6/60.084+K6/79.866+L6/101.961+M6/151.99+O6/71.844+N6/159.69+Q6/70.937+R6/40.304+S6/74.693+T6/81.38+U6/56.077+V6/61.979+W6/94.196+AJ6/18.015+AK6/44.01+Y6/80.06/2+Z6/20/2+AA6/2/35.453),
IF((CH6="mineral oxide O2"),CA6,
IF((CH6=""),"",
)))))</f>
        <v>0</v>
      </c>
      <c r="CY6" s="81">
        <f>IF((CH6="mol % oxide O2"),AA6/2/35.453*100/(J6/60.084+K6/79.866+L6/101.961+M6/151.99+O6/71.844+2*N6/159.69+Q6/70.937+R6/40.304+S6/74.693+T6/81.38+U6/56.077+V6/61.979+W6/94.196+AJ6/18.015+1/2*N6/159.69+AK6/44.01+Y6/80.06/2+Z6/20/2+AA6/2/35.453),
IF((CH6="mol % oxide O"),AA6/2/35.453*100/(J6/60.084+K6/79.866+L6/101.961+M6/151.99+O6/71.844+2*N6/159.69+Q6/70.937+R6/40.304+S6/74.693+T6/81.38+U6/56.077+V6/61.979+W6/94.196+AJ6/18.015+N6/159.69+AK6/44.01+Y6/80.06/2+Z6/20/2+AA6/2/35.453),
IF((CH6="mol % oxide Fe2O3"),AA6/2/35.453*100/(J6/60.084+K6/79.866+L6/101.961+M6/151.99+O6/71.844+N6/159.69+Q6/70.937+R6/40.304+S6/74.693+T6/81.38+U6/56.077+V6/61.979+W6/94.196+AJ6/18.015+AK6/44.01+Y6/80.06/2+Z6/20/2+AA6/2/35.453),
IF((CH6="mineral oxide O2"),CB6,
IF((CH6=""),"",
)))))</f>
        <v>0</v>
      </c>
      <c r="CZ6" s="81">
        <f>IF((CH6="mol % oxide O2"),AJ6/18.015*100/(J6/60.084+K6/79.866+L6/101.961+M6/151.99+O6/71.844+2*N6/159.69+Q6/70.937+R6/40.304+S6/74.693+T6/81.38+U6/56.077+V6/61.979+W6/94.196+AJ6/18.015+1/2*N6/159.69),
IF((CH6="mol % oxide O"),AJ6/18.015*100/(J6/60.084+K6/79.866+L6/101.961+M6/151.99+O6/71.844+2*N6/159.69+Q6/70.937+R6/40.304+S6/74.693+T6/81.38+U6/56.077+V6/61.979+W6/94.196+AJ6/18.015+N6/159.69),
IF((CH6="mol % oxide Fe2O3"),AJ6/18.015*100/(J6/60.084+K6/79.866+L6/101.961+M6/151.99+O6/71.844+N6/159.69+Q6/70.937+R6/40.304+S6/74.693+T6/81.38+U6/56.077+V6/61.979+W6/94.196+AJ6/18.015),
IF((CH6="mineral oxide O2"),CC6,
IF((CH6=""),"",
)))))</f>
        <v>0</v>
      </c>
      <c r="DA6" s="81">
        <f>IF((CH6="mol % oxide O2"),1/2*N6/159.69*100/(J6/60.084+K6/79.866+L6/101.961+M6/151.99+O6/71.844+2*N6/159.69+Q6/70.937+R6/40.304+S6/74.693+T6/81.38+U6/56.077+V6/61.979+W6/94.196+AJ6/18.015+1/2*N6/159.69),
IF((CH6="mol % oxide O"),N6/159.69*100/(J6/60.084+K6/79.866+L6/101.961+M6/151.99+O6/71.844+2*N6/159.69+Q6/70.937+R6/40.304+S6/74.693+T6/81.38+U6/56.077+V6/61.979+W6/94.196+AJ6/18.015+N6/159.69),
IF((CH6="mol % oxide Fe2O3"),N6/159.69*100/(J6/60.084+K6/79.866+L6/101.961+M6/151.99+O6/71.844+N6/159.69+Q6/70.937+R6/40.304+S6/74.693+T6/81.38+U6/56.077+V6/61.979+W6/94.196+AJ6/18.015),
IF((CH6="mineral oxide O2"),BP6*1/4,
IF((CH6=""),"",
)))))</f>
        <v>14.285631897036907</v>
      </c>
      <c r="DB6" s="81"/>
      <c r="DC6" s="67" t="s">
        <v>280</v>
      </c>
      <c r="DD6" s="60">
        <f>BK6*2</f>
        <v>0</v>
      </c>
      <c r="DE6" s="60">
        <f>BL6*2</f>
        <v>0</v>
      </c>
      <c r="DF6" s="67">
        <f>BM6*3/2</f>
        <v>0</v>
      </c>
      <c r="DG6" s="67">
        <f>BN6*3/2</f>
        <v>0</v>
      </c>
      <c r="DH6" s="94" t="e">
        <f>BO6+BP6</f>
        <v>#VALUE!</v>
      </c>
      <c r="DI6" s="94">
        <f t="shared" ref="DI6" si="8">BQ6</f>
        <v>0</v>
      </c>
      <c r="DJ6" s="95">
        <f t="shared" ref="DJ6" si="9">BR6</f>
        <v>0</v>
      </c>
      <c r="DK6" s="94">
        <f t="shared" ref="DK6" si="10">BS6</f>
        <v>0</v>
      </c>
      <c r="DL6" s="94">
        <f t="shared" ref="DL6" si="11">BT6</f>
        <v>0</v>
      </c>
      <c r="DM6" s="94">
        <f t="shared" ref="DM6" si="12">BU6</f>
        <v>0</v>
      </c>
      <c r="DN6" s="94">
        <f t="shared" ref="DN6" si="13">BV6</f>
        <v>0</v>
      </c>
      <c r="DO6" s="94">
        <f t="shared" ref="DO6" si="14">BW6</f>
        <v>0</v>
      </c>
      <c r="DP6" s="94">
        <f>BX6*5/2</f>
        <v>0</v>
      </c>
      <c r="DQ6" s="94">
        <f>CC6</f>
        <v>0</v>
      </c>
      <c r="DR6" s="94">
        <f>CD6*2</f>
        <v>17.276302796031892</v>
      </c>
    </row>
  </sheetData>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
  <sheetViews>
    <sheetView zoomScale="125" zoomScaleNormal="125" workbookViewId="0">
      <selection activeCell="D2" sqref="D2"/>
    </sheetView>
  </sheetViews>
  <sheetFormatPr baseColWidth="10" defaultRowHeight="16"/>
  <cols>
    <col min="1" max="1" width="11.5" bestFit="1" customWidth="1"/>
    <col min="2" max="2" width="20.83203125" bestFit="1" customWidth="1"/>
    <col min="4" max="4" width="18.5" bestFit="1" customWidth="1"/>
    <col min="5" max="5" width="10.5" bestFit="1" customWidth="1"/>
    <col min="6" max="6" width="20.5" bestFit="1" customWidth="1"/>
  </cols>
  <sheetData>
    <row r="1" spans="1:9">
      <c r="B1" s="61" t="s">
        <v>163</v>
      </c>
      <c r="C1" s="61" t="s">
        <v>164</v>
      </c>
      <c r="D1" s="61" t="s">
        <v>166</v>
      </c>
      <c r="E1" s="61" t="s">
        <v>167</v>
      </c>
      <c r="F1" s="61" t="s">
        <v>168</v>
      </c>
    </row>
    <row r="2" spans="1:9">
      <c r="A2" s="16" t="s">
        <v>165</v>
      </c>
      <c r="B2" s="61">
        <v>4.46</v>
      </c>
      <c r="C2" s="63">
        <v>0.56000000000000005</v>
      </c>
      <c r="D2" s="63">
        <f>C2*68.97/100</f>
        <v>0.38623200000000002</v>
      </c>
      <c r="E2" s="63">
        <f>D2*1/((159.69/71.844)/2)</f>
        <v>0.34752898500845386</v>
      </c>
      <c r="F2" s="63">
        <f>B2-E2</f>
        <v>4.112471014991546</v>
      </c>
      <c r="I2" s="62"/>
    </row>
    <row r="3" spans="1:9">
      <c r="A3" s="16"/>
    </row>
    <row r="4" spans="1:9">
      <c r="A4" s="16"/>
    </row>
    <row r="5" spans="1:9">
      <c r="A5" s="16"/>
    </row>
    <row r="6" spans="1:9">
      <c r="A6" s="16"/>
    </row>
    <row r="7" spans="1:9">
      <c r="A7" s="16"/>
    </row>
    <row r="8" spans="1:9">
      <c r="A8" s="16"/>
    </row>
    <row r="9" spans="1:9">
      <c r="A9" s="16"/>
    </row>
    <row r="10" spans="1:9">
      <c r="A10" s="16"/>
    </row>
    <row r="11" spans="1:9">
      <c r="A11" s="16"/>
    </row>
    <row r="12" spans="1:9">
      <c r="A12" s="1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F9D30-7F52-6843-9B3B-175DD3FDC206}">
  <dimension ref="A1:J51"/>
  <sheetViews>
    <sheetView zoomScale="130" zoomScaleNormal="130" workbookViewId="0">
      <selection activeCell="L8" sqref="L8"/>
    </sheetView>
  </sheetViews>
  <sheetFormatPr baseColWidth="10" defaultRowHeight="16"/>
  <cols>
    <col min="3" max="3" width="7" style="33" bestFit="1" customWidth="1"/>
    <col min="4" max="4" width="6.83203125" style="33" bestFit="1" customWidth="1"/>
    <col min="5" max="5" width="5.83203125" style="33" bestFit="1" customWidth="1"/>
  </cols>
  <sheetData>
    <row r="1" spans="1:10">
      <c r="A1" t="s">
        <v>395</v>
      </c>
    </row>
    <row r="2" spans="1:10">
      <c r="A2" s="118"/>
      <c r="B2" s="118"/>
      <c r="C2" s="119"/>
      <c r="D2" s="119"/>
      <c r="E2" s="119"/>
      <c r="F2" s="118"/>
      <c r="G2" s="118"/>
      <c r="H2" s="118"/>
    </row>
    <row r="3" spans="1:10">
      <c r="A3" s="122" t="s">
        <v>396</v>
      </c>
      <c r="B3" s="118"/>
      <c r="C3" s="119"/>
      <c r="D3" s="119"/>
      <c r="E3" s="119"/>
      <c r="F3" s="118"/>
      <c r="G3" s="118"/>
      <c r="H3" s="118"/>
    </row>
    <row r="4" spans="1:10">
      <c r="A4" s="122" t="s">
        <v>115</v>
      </c>
      <c r="B4" s="118"/>
      <c r="C4" s="56" t="s">
        <v>401</v>
      </c>
      <c r="D4" s="56" t="s">
        <v>403</v>
      </c>
      <c r="E4" s="56" t="s">
        <v>404</v>
      </c>
      <c r="F4" s="122" t="s">
        <v>397</v>
      </c>
      <c r="G4" s="118"/>
      <c r="H4" s="118"/>
    </row>
    <row r="5" spans="1:10">
      <c r="A5" s="122" t="s">
        <v>359</v>
      </c>
      <c r="B5" s="56">
        <v>22.989799999999999</v>
      </c>
      <c r="C5" s="120">
        <v>1</v>
      </c>
      <c r="D5" s="120">
        <v>2</v>
      </c>
      <c r="E5" s="120">
        <v>1</v>
      </c>
      <c r="F5" s="122" t="s">
        <v>379</v>
      </c>
      <c r="G5" s="56">
        <v>61.978999999999999</v>
      </c>
      <c r="H5" s="118"/>
    </row>
    <row r="6" spans="1:10">
      <c r="A6" s="122" t="s">
        <v>360</v>
      </c>
      <c r="B6" s="56">
        <v>24.304500000000001</v>
      </c>
      <c r="C6" s="120">
        <v>2</v>
      </c>
      <c r="D6" s="120">
        <v>2</v>
      </c>
      <c r="E6" s="120">
        <v>1</v>
      </c>
      <c r="F6" s="122" t="s">
        <v>380</v>
      </c>
      <c r="G6" s="56">
        <v>40.304000000000002</v>
      </c>
      <c r="H6" s="118"/>
    </row>
    <row r="7" spans="1:10">
      <c r="A7" s="122" t="s">
        <v>361</v>
      </c>
      <c r="B7" s="56">
        <v>26.981200000000001</v>
      </c>
      <c r="C7" s="120">
        <v>3</v>
      </c>
      <c r="D7" s="120">
        <v>2</v>
      </c>
      <c r="E7" s="120">
        <v>3</v>
      </c>
      <c r="F7" s="122" t="s">
        <v>381</v>
      </c>
      <c r="G7" s="56">
        <v>101.961</v>
      </c>
      <c r="H7" s="118"/>
    </row>
    <row r="8" spans="1:10">
      <c r="A8" s="122" t="s">
        <v>362</v>
      </c>
      <c r="B8" s="56">
        <v>28.085000000000001</v>
      </c>
      <c r="C8" s="120">
        <v>4</v>
      </c>
      <c r="D8" s="120">
        <v>1</v>
      </c>
      <c r="E8" s="120">
        <v>2</v>
      </c>
      <c r="F8" s="122" t="s">
        <v>382</v>
      </c>
      <c r="G8" s="56">
        <v>60.084000000000003</v>
      </c>
      <c r="H8" s="118"/>
    </row>
    <row r="9" spans="1:10">
      <c r="A9" s="122" t="s">
        <v>363</v>
      </c>
      <c r="B9" s="56">
        <v>39.098300000000002</v>
      </c>
      <c r="C9" s="120">
        <v>1</v>
      </c>
      <c r="D9" s="120">
        <v>2</v>
      </c>
      <c r="E9" s="120">
        <v>1</v>
      </c>
      <c r="F9" s="122" t="s">
        <v>383</v>
      </c>
      <c r="G9" s="56">
        <v>94.195999999999998</v>
      </c>
      <c r="H9" s="118"/>
    </row>
    <row r="10" spans="1:10">
      <c r="A10" s="122" t="s">
        <v>364</v>
      </c>
      <c r="B10" s="56">
        <v>40.077500000000001</v>
      </c>
      <c r="C10" s="120">
        <v>2</v>
      </c>
      <c r="D10" s="120">
        <v>1</v>
      </c>
      <c r="E10" s="120">
        <v>1</v>
      </c>
      <c r="F10" s="122" t="s">
        <v>384</v>
      </c>
      <c r="G10" s="56">
        <v>56.076999999999998</v>
      </c>
      <c r="H10" s="118"/>
    </row>
    <row r="11" spans="1:10">
      <c r="A11" s="122" t="s">
        <v>365</v>
      </c>
      <c r="B11" s="56">
        <v>47.866999999999997</v>
      </c>
      <c r="C11" s="120">
        <v>4</v>
      </c>
      <c r="D11" s="120">
        <v>1</v>
      </c>
      <c r="E11" s="120">
        <v>2</v>
      </c>
      <c r="F11" s="122" t="s">
        <v>385</v>
      </c>
      <c r="G11" s="56">
        <v>79.866</v>
      </c>
      <c r="H11" s="118"/>
    </row>
    <row r="12" spans="1:10">
      <c r="A12" s="122" t="s">
        <v>366</v>
      </c>
      <c r="B12" s="56">
        <v>54.9375</v>
      </c>
      <c r="C12" s="120">
        <v>2</v>
      </c>
      <c r="D12" s="120">
        <v>1</v>
      </c>
      <c r="E12" s="120">
        <v>1</v>
      </c>
      <c r="F12" s="122" t="s">
        <v>386</v>
      </c>
      <c r="G12" s="56">
        <v>70.936999999999998</v>
      </c>
      <c r="H12" s="118"/>
    </row>
    <row r="13" spans="1:10">
      <c r="A13" s="122" t="s">
        <v>367</v>
      </c>
      <c r="B13" s="56">
        <v>55.844499999999996</v>
      </c>
      <c r="C13" s="120">
        <v>2</v>
      </c>
      <c r="D13" s="120">
        <v>1</v>
      </c>
      <c r="E13" s="120">
        <v>1</v>
      </c>
      <c r="F13" s="122" t="s">
        <v>387</v>
      </c>
      <c r="G13" s="56">
        <v>71.843999999999994</v>
      </c>
    </row>
    <row r="14" spans="1:10">
      <c r="A14" s="122" t="s">
        <v>368</v>
      </c>
      <c r="B14" s="56">
        <v>58.6935</v>
      </c>
      <c r="C14" s="120">
        <v>2</v>
      </c>
      <c r="D14" s="120">
        <v>1</v>
      </c>
      <c r="E14" s="120">
        <v>1</v>
      </c>
      <c r="F14" s="122" t="s">
        <v>499</v>
      </c>
      <c r="G14" s="56">
        <f>159.69</f>
        <v>159.69</v>
      </c>
      <c r="H14" s="56"/>
      <c r="J14" s="56"/>
    </row>
    <row r="15" spans="1:10">
      <c r="A15" s="122" t="s">
        <v>369</v>
      </c>
      <c r="B15" s="56">
        <v>91.221000000000004</v>
      </c>
      <c r="C15" s="120">
        <v>4</v>
      </c>
      <c r="D15" s="120">
        <v>1</v>
      </c>
      <c r="E15" s="120">
        <v>2</v>
      </c>
      <c r="F15" s="122" t="s">
        <v>388</v>
      </c>
      <c r="G15" s="56">
        <v>74.692999999999998</v>
      </c>
      <c r="H15" s="118"/>
    </row>
    <row r="16" spans="1:10">
      <c r="A16" s="122" t="s">
        <v>370</v>
      </c>
      <c r="B16" s="56">
        <v>70.906000000000006</v>
      </c>
      <c r="C16" s="120"/>
      <c r="D16" s="120"/>
      <c r="E16" s="120"/>
      <c r="F16" s="122" t="s">
        <v>389</v>
      </c>
      <c r="G16" s="56">
        <v>123.22</v>
      </c>
      <c r="H16" s="118"/>
    </row>
    <row r="17" spans="1:8">
      <c r="A17" s="122" t="s">
        <v>371</v>
      </c>
      <c r="B17" s="56">
        <v>31.998999999999999</v>
      </c>
      <c r="C17" s="120">
        <v>-2</v>
      </c>
      <c r="D17" s="120"/>
      <c r="E17" s="120"/>
      <c r="F17" s="122" t="s">
        <v>390</v>
      </c>
      <c r="G17" s="56">
        <v>70.906000000000006</v>
      </c>
      <c r="H17" s="118"/>
    </row>
    <row r="18" spans="1:8">
      <c r="A18" s="122" t="s">
        <v>372</v>
      </c>
      <c r="B18" s="56">
        <v>2.0154999999999998</v>
      </c>
      <c r="C18" s="120">
        <v>1</v>
      </c>
      <c r="D18" s="120">
        <v>2</v>
      </c>
      <c r="E18" s="120">
        <v>1</v>
      </c>
      <c r="F18" s="122" t="s">
        <v>371</v>
      </c>
      <c r="G18" s="56">
        <v>31.998999999999999</v>
      </c>
      <c r="H18" s="118"/>
    </row>
    <row r="19" spans="1:8">
      <c r="A19" s="122" t="s">
        <v>373</v>
      </c>
      <c r="B19" s="56">
        <v>12.010999999999999</v>
      </c>
      <c r="C19" s="120">
        <v>4</v>
      </c>
      <c r="D19" s="120">
        <v>1</v>
      </c>
      <c r="E19" s="120">
        <v>2</v>
      </c>
      <c r="F19" s="122" t="s">
        <v>391</v>
      </c>
      <c r="G19" s="56">
        <v>18.015000000000001</v>
      </c>
      <c r="H19" s="118"/>
    </row>
    <row r="20" spans="1:8">
      <c r="A20" s="122" t="s">
        <v>374</v>
      </c>
      <c r="B20" s="56">
        <v>63.545499999999997</v>
      </c>
      <c r="C20" s="120">
        <v>2</v>
      </c>
      <c r="D20" s="120">
        <v>1</v>
      </c>
      <c r="E20" s="120">
        <v>1</v>
      </c>
      <c r="F20" s="122" t="s">
        <v>392</v>
      </c>
      <c r="G20" s="56">
        <v>44.01</v>
      </c>
      <c r="H20" s="118"/>
    </row>
    <row r="21" spans="1:8">
      <c r="A21" s="122" t="s">
        <v>375</v>
      </c>
      <c r="B21" s="56">
        <v>51.995800000000003</v>
      </c>
      <c r="C21" s="120">
        <v>3</v>
      </c>
      <c r="D21" s="120">
        <v>2</v>
      </c>
      <c r="E21" s="120">
        <v>3</v>
      </c>
      <c r="F21" s="122" t="s">
        <v>393</v>
      </c>
      <c r="G21" s="56">
        <v>79.545000000000002</v>
      </c>
      <c r="H21" s="118"/>
    </row>
    <row r="22" spans="1:8">
      <c r="A22" s="122" t="s">
        <v>376</v>
      </c>
      <c r="B22" s="56">
        <v>64.13</v>
      </c>
      <c r="C22" s="120"/>
      <c r="D22" s="120"/>
      <c r="E22" s="120"/>
      <c r="F22" s="122" t="s">
        <v>394</v>
      </c>
      <c r="G22" s="56">
        <v>151.99</v>
      </c>
      <c r="H22" s="118"/>
    </row>
    <row r="23" spans="1:8">
      <c r="A23" s="122" t="s">
        <v>377</v>
      </c>
      <c r="B23" s="56">
        <v>37.9968</v>
      </c>
      <c r="C23" s="120"/>
      <c r="D23" s="120"/>
      <c r="E23" s="120"/>
      <c r="F23" s="122" t="s">
        <v>376</v>
      </c>
      <c r="G23" s="56">
        <v>64.13</v>
      </c>
      <c r="H23" s="118"/>
    </row>
    <row r="24" spans="1:8">
      <c r="A24" s="122" t="s">
        <v>378</v>
      </c>
      <c r="B24" s="56">
        <v>28.013000000000002</v>
      </c>
      <c r="C24" s="120"/>
      <c r="D24" s="120"/>
      <c r="E24" s="120"/>
      <c r="F24" s="122" t="s">
        <v>377</v>
      </c>
      <c r="G24" s="56">
        <v>37.9968</v>
      </c>
      <c r="H24" s="118"/>
    </row>
    <row r="25" spans="1:8">
      <c r="A25" s="118"/>
      <c r="B25" s="118"/>
      <c r="C25" s="116"/>
      <c r="D25" s="116"/>
      <c r="E25" s="116"/>
      <c r="F25" s="122"/>
      <c r="G25" s="56"/>
      <c r="H25" s="118"/>
    </row>
    <row r="26" spans="1:8">
      <c r="A26" s="122" t="s">
        <v>398</v>
      </c>
      <c r="B26" s="118"/>
      <c r="C26" s="116"/>
      <c r="D26" s="116"/>
      <c r="E26" s="116"/>
      <c r="F26" s="122"/>
      <c r="G26" s="56"/>
      <c r="H26" s="118"/>
    </row>
    <row r="27" spans="1:8">
      <c r="A27" s="122" t="s">
        <v>110</v>
      </c>
      <c r="B27" s="56">
        <v>58.933199999999999</v>
      </c>
      <c r="C27" s="120">
        <v>2</v>
      </c>
      <c r="D27" s="120">
        <v>1</v>
      </c>
      <c r="E27" s="120">
        <v>1</v>
      </c>
      <c r="F27" s="122" t="s">
        <v>346</v>
      </c>
      <c r="G27" s="56">
        <f t="shared" ref="G27:G42" si="0">B27*D27+E27*$G$18/2</f>
        <v>74.932699999999997</v>
      </c>
      <c r="H27" s="118"/>
    </row>
    <row r="28" spans="1:8">
      <c r="A28" s="122" t="s">
        <v>399</v>
      </c>
      <c r="B28" s="56">
        <v>63.545499999999997</v>
      </c>
      <c r="C28" s="120">
        <v>2</v>
      </c>
      <c r="D28" s="120">
        <v>1</v>
      </c>
      <c r="E28" s="120">
        <v>1</v>
      </c>
      <c r="F28" s="122" t="s">
        <v>400</v>
      </c>
      <c r="G28" s="56">
        <f t="shared" si="0"/>
        <v>79.545000000000002</v>
      </c>
      <c r="H28" s="117"/>
    </row>
    <row r="29" spans="1:8">
      <c r="A29" s="122" t="s">
        <v>121</v>
      </c>
      <c r="B29" s="56">
        <v>9.0122</v>
      </c>
      <c r="C29" s="120">
        <v>2</v>
      </c>
      <c r="D29" s="120">
        <v>1</v>
      </c>
      <c r="E29" s="120">
        <v>1</v>
      </c>
      <c r="F29" s="122" t="s">
        <v>356</v>
      </c>
      <c r="G29" s="56">
        <f t="shared" si="0"/>
        <v>25.011699999999998</v>
      </c>
      <c r="H29" s="118"/>
    </row>
    <row r="30" spans="1:8">
      <c r="A30" s="122" t="s">
        <v>122</v>
      </c>
      <c r="B30" s="56">
        <v>137.34</v>
      </c>
      <c r="C30" s="120">
        <v>2</v>
      </c>
      <c r="D30" s="120">
        <v>1</v>
      </c>
      <c r="E30" s="120">
        <v>1</v>
      </c>
      <c r="F30" s="122" t="s">
        <v>348</v>
      </c>
      <c r="G30" s="56">
        <f t="shared" si="0"/>
        <v>153.33950000000002</v>
      </c>
      <c r="H30" s="118"/>
    </row>
    <row r="31" spans="1:8">
      <c r="A31" s="122" t="s">
        <v>123</v>
      </c>
      <c r="B31" s="56">
        <v>87.62</v>
      </c>
      <c r="C31" s="120">
        <v>2</v>
      </c>
      <c r="D31" s="120">
        <v>1</v>
      </c>
      <c r="E31" s="120">
        <v>1</v>
      </c>
      <c r="F31" s="122" t="s">
        <v>349</v>
      </c>
      <c r="G31" s="56">
        <f t="shared" si="0"/>
        <v>103.6195</v>
      </c>
      <c r="H31" s="118"/>
    </row>
    <row r="32" spans="1:8">
      <c r="A32" s="122" t="s">
        <v>124</v>
      </c>
      <c r="B32" s="56">
        <v>207.19</v>
      </c>
      <c r="C32" s="120">
        <v>2</v>
      </c>
      <c r="D32" s="120">
        <v>1</v>
      </c>
      <c r="E32" s="120">
        <v>1</v>
      </c>
      <c r="F32" s="122" t="s">
        <v>350</v>
      </c>
      <c r="G32" s="56">
        <f t="shared" si="0"/>
        <v>223.18950000000001</v>
      </c>
      <c r="H32" s="118"/>
    </row>
    <row r="33" spans="1:8">
      <c r="A33" s="122" t="s">
        <v>126</v>
      </c>
      <c r="B33" s="56">
        <v>50.942</v>
      </c>
      <c r="C33" s="120">
        <v>3</v>
      </c>
      <c r="D33" s="120">
        <v>2</v>
      </c>
      <c r="E33" s="120">
        <v>5</v>
      </c>
      <c r="F33" s="122" t="s">
        <v>482</v>
      </c>
      <c r="G33" s="56">
        <f t="shared" si="0"/>
        <v>181.88150000000002</v>
      </c>
      <c r="H33" s="118"/>
    </row>
    <row r="34" spans="1:8">
      <c r="A34" s="122" t="s">
        <v>120</v>
      </c>
      <c r="B34" s="56">
        <v>118.69</v>
      </c>
      <c r="C34" s="120">
        <v>4</v>
      </c>
      <c r="D34" s="120">
        <v>1</v>
      </c>
      <c r="E34" s="120">
        <v>2</v>
      </c>
      <c r="F34" s="122" t="s">
        <v>483</v>
      </c>
      <c r="G34" s="56">
        <f t="shared" si="0"/>
        <v>150.68899999999999</v>
      </c>
      <c r="H34" s="118"/>
    </row>
    <row r="35" spans="1:8">
      <c r="A35" s="122" t="s">
        <v>127</v>
      </c>
      <c r="B35" s="56">
        <v>91.221000000000004</v>
      </c>
      <c r="C35" s="120">
        <v>4</v>
      </c>
      <c r="D35" s="120">
        <v>1</v>
      </c>
      <c r="E35" s="120">
        <v>2</v>
      </c>
      <c r="F35" s="122" t="s">
        <v>484</v>
      </c>
      <c r="G35" s="56">
        <f t="shared" si="0"/>
        <v>123.22</v>
      </c>
      <c r="H35" s="118"/>
    </row>
    <row r="36" spans="1:8">
      <c r="A36" s="122" t="s">
        <v>9</v>
      </c>
      <c r="B36" s="56">
        <v>88.905000000000001</v>
      </c>
      <c r="C36" s="120">
        <v>3</v>
      </c>
      <c r="D36" s="120">
        <v>2</v>
      </c>
      <c r="E36" s="120">
        <v>3</v>
      </c>
      <c r="F36" s="122" t="s">
        <v>485</v>
      </c>
      <c r="G36" s="56">
        <f t="shared" si="0"/>
        <v>225.80850000000001</v>
      </c>
      <c r="H36" s="118"/>
    </row>
    <row r="37" spans="1:8">
      <c r="A37" s="122" t="s">
        <v>125</v>
      </c>
      <c r="B37" s="56">
        <v>95.94</v>
      </c>
      <c r="C37" s="120">
        <v>6</v>
      </c>
      <c r="D37" s="120">
        <v>1</v>
      </c>
      <c r="E37" s="120">
        <v>3</v>
      </c>
      <c r="F37" s="122" t="s">
        <v>486</v>
      </c>
      <c r="G37" s="56">
        <f t="shared" si="0"/>
        <v>143.9385</v>
      </c>
      <c r="H37" s="118"/>
    </row>
    <row r="38" spans="1:8">
      <c r="A38" s="122" t="s">
        <v>128</v>
      </c>
      <c r="B38" s="56">
        <v>183.85</v>
      </c>
      <c r="C38" s="120">
        <v>6</v>
      </c>
      <c r="D38" s="120">
        <v>1</v>
      </c>
      <c r="E38" s="120">
        <v>3</v>
      </c>
      <c r="F38" s="122" t="s">
        <v>487</v>
      </c>
      <c r="G38" s="56">
        <f t="shared" si="0"/>
        <v>231.8485</v>
      </c>
      <c r="H38" s="118"/>
    </row>
    <row r="39" spans="1:8">
      <c r="A39" s="122" t="s">
        <v>129</v>
      </c>
      <c r="B39" s="56">
        <v>74.921599999999998</v>
      </c>
      <c r="C39" s="120">
        <v>5</v>
      </c>
      <c r="D39" s="120">
        <v>2</v>
      </c>
      <c r="E39" s="120">
        <v>5</v>
      </c>
      <c r="F39" s="122" t="s">
        <v>488</v>
      </c>
      <c r="G39" s="56">
        <f t="shared" si="0"/>
        <v>229.8407</v>
      </c>
      <c r="H39" s="118"/>
    </row>
    <row r="40" spans="1:8">
      <c r="A40" s="122" t="s">
        <v>338</v>
      </c>
      <c r="B40" s="56">
        <v>78.959999999999994</v>
      </c>
      <c r="C40" s="120">
        <v>4</v>
      </c>
      <c r="D40" s="120">
        <v>1</v>
      </c>
      <c r="E40" s="120">
        <v>2</v>
      </c>
      <c r="F40" s="122" t="s">
        <v>489</v>
      </c>
      <c r="G40" s="56">
        <f t="shared" si="0"/>
        <v>110.95899999999999</v>
      </c>
      <c r="H40" s="118"/>
    </row>
    <row r="41" spans="1:8">
      <c r="A41" s="122" t="s">
        <v>340</v>
      </c>
      <c r="B41" s="56">
        <v>121.75</v>
      </c>
      <c r="C41" s="120">
        <v>5</v>
      </c>
      <c r="D41" s="120">
        <v>2</v>
      </c>
      <c r="E41" s="120">
        <v>5</v>
      </c>
      <c r="F41" s="122" t="s">
        <v>490</v>
      </c>
      <c r="G41" s="56">
        <f t="shared" si="0"/>
        <v>323.4975</v>
      </c>
      <c r="H41" s="118"/>
    </row>
    <row r="42" spans="1:8">
      <c r="A42" s="122" t="s">
        <v>339</v>
      </c>
      <c r="B42" s="56">
        <v>127.6</v>
      </c>
      <c r="C42" s="120">
        <v>4</v>
      </c>
      <c r="D42" s="120">
        <v>1</v>
      </c>
      <c r="E42" s="120">
        <v>2</v>
      </c>
      <c r="F42" s="122" t="s">
        <v>491</v>
      </c>
      <c r="G42" s="56">
        <f t="shared" si="0"/>
        <v>159.59899999999999</v>
      </c>
      <c r="H42" s="118"/>
    </row>
    <row r="43" spans="1:8">
      <c r="A43" s="122"/>
      <c r="B43" s="118"/>
      <c r="C43" s="119"/>
      <c r="D43" s="119"/>
      <c r="E43" s="119"/>
      <c r="F43" s="118"/>
      <c r="G43" s="118"/>
      <c r="H43" s="118"/>
    </row>
    <row r="44" spans="1:8">
      <c r="A44" s="122"/>
      <c r="B44" s="118"/>
      <c r="C44" s="119"/>
      <c r="D44" s="119"/>
      <c r="E44" s="119"/>
      <c r="F44" s="118"/>
      <c r="G44" s="118"/>
      <c r="H44" s="118"/>
    </row>
    <row r="45" spans="1:8">
      <c r="A45" s="122"/>
      <c r="B45" s="118"/>
      <c r="C45" s="119"/>
      <c r="D45" s="119"/>
      <c r="E45" s="119"/>
      <c r="F45" s="118"/>
      <c r="G45" s="118"/>
      <c r="H45" s="118"/>
    </row>
    <row r="46" spans="1:8">
      <c r="A46" s="122"/>
      <c r="B46" s="118"/>
      <c r="C46" s="119"/>
      <c r="D46" s="119"/>
      <c r="E46" s="119"/>
      <c r="F46" s="118"/>
      <c r="G46" s="118"/>
      <c r="H46" s="118"/>
    </row>
    <row r="47" spans="1:8">
      <c r="A47" s="122" t="s">
        <v>402</v>
      </c>
      <c r="B47" s="118"/>
      <c r="C47" s="119"/>
      <c r="D47" s="119"/>
      <c r="E47" s="119"/>
      <c r="F47" s="118"/>
      <c r="G47" s="118"/>
      <c r="H47" s="118"/>
    </row>
    <row r="51" spans="1:3">
      <c r="A51" s="4"/>
      <c r="B51" s="4"/>
      <c r="C51" s="4"/>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5F7F-7018-074A-93E8-07BE1C39B331}">
  <dimension ref="A1:BK137"/>
  <sheetViews>
    <sheetView workbookViewId="0">
      <pane ySplit="1" topLeftCell="A2" activePane="bottomLeft" state="frozen"/>
      <selection pane="bottomLeft" activeCell="R84" sqref="R84"/>
    </sheetView>
  </sheetViews>
  <sheetFormatPr baseColWidth="10" defaultRowHeight="16"/>
  <cols>
    <col min="1" max="1" width="8.6640625" customWidth="1"/>
    <col min="2" max="2" width="11.33203125" bestFit="1" customWidth="1"/>
    <col min="3" max="3" width="14.1640625" bestFit="1" customWidth="1"/>
    <col min="4" max="4" width="6" customWidth="1"/>
    <col min="5" max="5" width="9.1640625" customWidth="1"/>
    <col min="6" max="6" width="12.83203125" bestFit="1" customWidth="1"/>
    <col min="7" max="9" width="5.83203125" bestFit="1" customWidth="1"/>
    <col min="10" max="10" width="4.6640625" bestFit="1" customWidth="1"/>
    <col min="11" max="11" width="3.83203125" bestFit="1" customWidth="1"/>
    <col min="12" max="12" width="8.83203125" style="93" customWidth="1"/>
    <col min="13" max="13" width="4.83203125" bestFit="1" customWidth="1"/>
    <col min="14" max="14" width="4.33203125" bestFit="1" customWidth="1"/>
    <col min="15" max="15" width="5.1640625" bestFit="1" customWidth="1"/>
    <col min="16" max="16" width="5.5" bestFit="1" customWidth="1"/>
    <col min="17" max="21" width="4.83203125" bestFit="1" customWidth="1"/>
    <col min="22" max="22" width="4.1640625" bestFit="1" customWidth="1"/>
    <col min="23" max="23" width="5" bestFit="1" customWidth="1"/>
    <col min="24" max="26" width="4.83203125" bestFit="1" customWidth="1"/>
    <col min="27" max="28" width="4.5" customWidth="1"/>
    <col min="29" max="30" width="4" bestFit="1" customWidth="1"/>
    <col min="31" max="31" width="4.5" bestFit="1" customWidth="1"/>
    <col min="32" max="32" width="4.83203125" bestFit="1" customWidth="1"/>
    <col min="34" max="34" width="4.83203125" bestFit="1" customWidth="1"/>
    <col min="35" max="35" width="4.1640625" bestFit="1" customWidth="1"/>
    <col min="36" max="36" width="5" bestFit="1" customWidth="1"/>
    <col min="37" max="37" width="5.33203125" bestFit="1" customWidth="1"/>
    <col min="38" max="38" width="4.83203125" bestFit="1" customWidth="1"/>
    <col min="39" max="39" width="4.1640625" bestFit="1" customWidth="1"/>
    <col min="40" max="40" width="4.83203125" bestFit="1" customWidth="1"/>
    <col min="41" max="42" width="4" bestFit="1" customWidth="1"/>
    <col min="43" max="44" width="4.83203125" bestFit="1" customWidth="1"/>
    <col min="45" max="45" width="4" bestFit="1" customWidth="1"/>
    <col min="46" max="46" width="4.6640625" bestFit="1" customWidth="1"/>
    <col min="47" max="47" width="4.5" bestFit="1" customWidth="1"/>
    <col min="48" max="48" width="9" bestFit="1" customWidth="1"/>
    <col min="49" max="49" width="11" customWidth="1"/>
    <col min="50" max="51" width="5.33203125" bestFit="1" customWidth="1"/>
    <col min="52" max="52" width="5.6640625" bestFit="1" customWidth="1"/>
    <col min="53" max="53" width="4.83203125" bestFit="1" customWidth="1"/>
    <col min="54" max="54" width="4.1640625" bestFit="1" customWidth="1"/>
    <col min="55" max="55" width="4.83203125" bestFit="1" customWidth="1"/>
    <col min="56" max="57" width="4" bestFit="1" customWidth="1"/>
    <col min="58" max="59" width="4.83203125" bestFit="1" customWidth="1"/>
    <col min="60" max="60" width="4" bestFit="1" customWidth="1"/>
    <col min="61" max="61" width="5" bestFit="1" customWidth="1"/>
    <col min="62" max="62" width="4" bestFit="1" customWidth="1"/>
    <col min="63" max="63" width="5.6640625" bestFit="1" customWidth="1"/>
    <col min="226" max="226" width="22.83203125" bestFit="1" customWidth="1"/>
    <col min="227" max="227" width="14.83203125" bestFit="1" customWidth="1"/>
    <col min="228" max="229" width="14.83203125" customWidth="1"/>
    <col min="482" max="482" width="22.83203125" bestFit="1" customWidth="1"/>
    <col min="483" max="483" width="14.83203125" bestFit="1" customWidth="1"/>
    <col min="484" max="485" width="14.83203125" customWidth="1"/>
    <col min="738" max="738" width="22.83203125" bestFit="1" customWidth="1"/>
    <col min="739" max="739" width="14.83203125" bestFit="1" customWidth="1"/>
    <col min="740" max="741" width="14.83203125" customWidth="1"/>
    <col min="994" max="994" width="22.83203125" bestFit="1" customWidth="1"/>
    <col min="995" max="995" width="14.83203125" bestFit="1" customWidth="1"/>
    <col min="996" max="997" width="14.83203125" customWidth="1"/>
    <col min="1250" max="1250" width="22.83203125" bestFit="1" customWidth="1"/>
    <col min="1251" max="1251" width="14.83203125" bestFit="1" customWidth="1"/>
    <col min="1252" max="1253" width="14.83203125" customWidth="1"/>
    <col min="1506" max="1506" width="22.83203125" bestFit="1" customWidth="1"/>
    <col min="1507" max="1507" width="14.83203125" bestFit="1" customWidth="1"/>
    <col min="1508" max="1509" width="14.83203125" customWidth="1"/>
    <col min="1762" max="1762" width="22.83203125" bestFit="1" customWidth="1"/>
    <col min="1763" max="1763" width="14.83203125" bestFit="1" customWidth="1"/>
    <col min="1764" max="1765" width="14.83203125" customWidth="1"/>
    <col min="2018" max="2018" width="22.83203125" bestFit="1" customWidth="1"/>
    <col min="2019" max="2019" width="14.83203125" bestFit="1" customWidth="1"/>
    <col min="2020" max="2021" width="14.83203125" customWidth="1"/>
    <col min="2274" max="2274" width="22.83203125" bestFit="1" customWidth="1"/>
    <col min="2275" max="2275" width="14.83203125" bestFit="1" customWidth="1"/>
    <col min="2276" max="2277" width="14.83203125" customWidth="1"/>
    <col min="2530" max="2530" width="22.83203125" bestFit="1" customWidth="1"/>
    <col min="2531" max="2531" width="14.83203125" bestFit="1" customWidth="1"/>
    <col min="2532" max="2533" width="14.83203125" customWidth="1"/>
    <col min="2786" max="2786" width="22.83203125" bestFit="1" customWidth="1"/>
    <col min="2787" max="2787" width="14.83203125" bestFit="1" customWidth="1"/>
    <col min="2788" max="2789" width="14.83203125" customWidth="1"/>
    <col min="3042" max="3042" width="22.83203125" bestFit="1" customWidth="1"/>
    <col min="3043" max="3043" width="14.83203125" bestFit="1" customWidth="1"/>
    <col min="3044" max="3045" width="14.83203125" customWidth="1"/>
    <col min="3298" max="3298" width="22.83203125" bestFit="1" customWidth="1"/>
    <col min="3299" max="3299" width="14.83203125" bestFit="1" customWidth="1"/>
    <col min="3300" max="3301" width="14.83203125" customWidth="1"/>
    <col min="3554" max="3554" width="22.83203125" bestFit="1" customWidth="1"/>
    <col min="3555" max="3555" width="14.83203125" bestFit="1" customWidth="1"/>
    <col min="3556" max="3557" width="14.83203125" customWidth="1"/>
    <col min="3810" max="3810" width="22.83203125" bestFit="1" customWidth="1"/>
    <col min="3811" max="3811" width="14.83203125" bestFit="1" customWidth="1"/>
    <col min="3812" max="3813" width="14.83203125" customWidth="1"/>
    <col min="4066" max="4066" width="22.83203125" bestFit="1" customWidth="1"/>
    <col min="4067" max="4067" width="14.83203125" bestFit="1" customWidth="1"/>
    <col min="4068" max="4069" width="14.83203125" customWidth="1"/>
    <col min="4322" max="4322" width="22.83203125" bestFit="1" customWidth="1"/>
    <col min="4323" max="4323" width="14.83203125" bestFit="1" customWidth="1"/>
    <col min="4324" max="4325" width="14.83203125" customWidth="1"/>
    <col min="4578" max="4578" width="22.83203125" bestFit="1" customWidth="1"/>
    <col min="4579" max="4579" width="14.83203125" bestFit="1" customWidth="1"/>
    <col min="4580" max="4581" width="14.83203125" customWidth="1"/>
    <col min="4834" max="4834" width="22.83203125" bestFit="1" customWidth="1"/>
    <col min="4835" max="4835" width="14.83203125" bestFit="1" customWidth="1"/>
    <col min="4836" max="4837" width="14.83203125" customWidth="1"/>
    <col min="5090" max="5090" width="22.83203125" bestFit="1" customWidth="1"/>
    <col min="5091" max="5091" width="14.83203125" bestFit="1" customWidth="1"/>
    <col min="5092" max="5093" width="14.83203125" customWidth="1"/>
    <col min="5346" max="5346" width="22.83203125" bestFit="1" customWidth="1"/>
    <col min="5347" max="5347" width="14.83203125" bestFit="1" customWidth="1"/>
    <col min="5348" max="5349" width="14.83203125" customWidth="1"/>
    <col min="5602" max="5602" width="22.83203125" bestFit="1" customWidth="1"/>
    <col min="5603" max="5603" width="14.83203125" bestFit="1" customWidth="1"/>
    <col min="5604" max="5605" width="14.83203125" customWidth="1"/>
    <col min="5858" max="5858" width="22.83203125" bestFit="1" customWidth="1"/>
    <col min="5859" max="5859" width="14.83203125" bestFit="1" customWidth="1"/>
    <col min="5860" max="5861" width="14.83203125" customWidth="1"/>
    <col min="6114" max="6114" width="22.83203125" bestFit="1" customWidth="1"/>
    <col min="6115" max="6115" width="14.83203125" bestFit="1" customWidth="1"/>
    <col min="6116" max="6117" width="14.83203125" customWidth="1"/>
    <col min="6370" max="6370" width="22.83203125" bestFit="1" customWidth="1"/>
    <col min="6371" max="6371" width="14.83203125" bestFit="1" customWidth="1"/>
    <col min="6372" max="6373" width="14.83203125" customWidth="1"/>
    <col min="6626" max="6626" width="22.83203125" bestFit="1" customWidth="1"/>
    <col min="6627" max="6627" width="14.83203125" bestFit="1" customWidth="1"/>
    <col min="6628" max="6629" width="14.83203125" customWidth="1"/>
    <col min="6882" max="6882" width="22.83203125" bestFit="1" customWidth="1"/>
    <col min="6883" max="6883" width="14.83203125" bestFit="1" customWidth="1"/>
    <col min="6884" max="6885" width="14.83203125" customWidth="1"/>
    <col min="7138" max="7138" width="22.83203125" bestFit="1" customWidth="1"/>
    <col min="7139" max="7139" width="14.83203125" bestFit="1" customWidth="1"/>
    <col min="7140" max="7141" width="14.83203125" customWidth="1"/>
    <col min="7394" max="7394" width="22.83203125" bestFit="1" customWidth="1"/>
    <col min="7395" max="7395" width="14.83203125" bestFit="1" customWidth="1"/>
    <col min="7396" max="7397" width="14.83203125" customWidth="1"/>
    <col min="7650" max="7650" width="22.83203125" bestFit="1" customWidth="1"/>
    <col min="7651" max="7651" width="14.83203125" bestFit="1" customWidth="1"/>
    <col min="7652" max="7653" width="14.83203125" customWidth="1"/>
    <col min="7906" max="7906" width="22.83203125" bestFit="1" customWidth="1"/>
    <col min="7907" max="7907" width="14.83203125" bestFit="1" customWidth="1"/>
    <col min="7908" max="7909" width="14.83203125" customWidth="1"/>
    <col min="8162" max="8162" width="22.83203125" bestFit="1" customWidth="1"/>
    <col min="8163" max="8163" width="14.83203125" bestFit="1" customWidth="1"/>
    <col min="8164" max="8165" width="14.83203125" customWidth="1"/>
    <col min="8418" max="8418" width="22.83203125" bestFit="1" customWidth="1"/>
    <col min="8419" max="8419" width="14.83203125" bestFit="1" customWidth="1"/>
    <col min="8420" max="8421" width="14.83203125" customWidth="1"/>
    <col min="8674" max="8674" width="22.83203125" bestFit="1" customWidth="1"/>
    <col min="8675" max="8675" width="14.83203125" bestFit="1" customWidth="1"/>
    <col min="8676" max="8677" width="14.83203125" customWidth="1"/>
    <col min="8930" max="8930" width="22.83203125" bestFit="1" customWidth="1"/>
    <col min="8931" max="8931" width="14.83203125" bestFit="1" customWidth="1"/>
    <col min="8932" max="8933" width="14.83203125" customWidth="1"/>
    <col min="9186" max="9186" width="22.83203125" bestFit="1" customWidth="1"/>
    <col min="9187" max="9187" width="14.83203125" bestFit="1" customWidth="1"/>
    <col min="9188" max="9189" width="14.83203125" customWidth="1"/>
    <col min="9442" max="9442" width="22.83203125" bestFit="1" customWidth="1"/>
    <col min="9443" max="9443" width="14.83203125" bestFit="1" customWidth="1"/>
    <col min="9444" max="9445" width="14.83203125" customWidth="1"/>
    <col min="9698" max="9698" width="22.83203125" bestFit="1" customWidth="1"/>
    <col min="9699" max="9699" width="14.83203125" bestFit="1" customWidth="1"/>
    <col min="9700" max="9701" width="14.83203125" customWidth="1"/>
    <col min="9954" max="9954" width="22.83203125" bestFit="1" customWidth="1"/>
    <col min="9955" max="9955" width="14.83203125" bestFit="1" customWidth="1"/>
    <col min="9956" max="9957" width="14.83203125" customWidth="1"/>
    <col min="10210" max="10210" width="22.83203125" bestFit="1" customWidth="1"/>
    <col min="10211" max="10211" width="14.83203125" bestFit="1" customWidth="1"/>
    <col min="10212" max="10213" width="14.83203125" customWidth="1"/>
    <col min="10466" max="10466" width="22.83203125" bestFit="1" customWidth="1"/>
    <col min="10467" max="10467" width="14.83203125" bestFit="1" customWidth="1"/>
    <col min="10468" max="10469" width="14.83203125" customWidth="1"/>
    <col min="10722" max="10722" width="22.83203125" bestFit="1" customWidth="1"/>
    <col min="10723" max="10723" width="14.83203125" bestFit="1" customWidth="1"/>
    <col min="10724" max="10725" width="14.83203125" customWidth="1"/>
    <col min="10978" max="10978" width="22.83203125" bestFit="1" customWidth="1"/>
    <col min="10979" max="10979" width="14.83203125" bestFit="1" customWidth="1"/>
    <col min="10980" max="10981" width="14.83203125" customWidth="1"/>
    <col min="11234" max="11234" width="22.83203125" bestFit="1" customWidth="1"/>
    <col min="11235" max="11235" width="14.83203125" bestFit="1" customWidth="1"/>
    <col min="11236" max="11237" width="14.83203125" customWidth="1"/>
    <col min="11490" max="11490" width="22.83203125" bestFit="1" customWidth="1"/>
    <col min="11491" max="11491" width="14.83203125" bestFit="1" customWidth="1"/>
    <col min="11492" max="11493" width="14.83203125" customWidth="1"/>
    <col min="11746" max="11746" width="22.83203125" bestFit="1" customWidth="1"/>
    <col min="11747" max="11747" width="14.83203125" bestFit="1" customWidth="1"/>
    <col min="11748" max="11749" width="14.83203125" customWidth="1"/>
    <col min="12002" max="12002" width="22.83203125" bestFit="1" customWidth="1"/>
    <col min="12003" max="12003" width="14.83203125" bestFit="1" customWidth="1"/>
    <col min="12004" max="12005" width="14.83203125" customWidth="1"/>
    <col min="12258" max="12258" width="22.83203125" bestFit="1" customWidth="1"/>
    <col min="12259" max="12259" width="14.83203125" bestFit="1" customWidth="1"/>
    <col min="12260" max="12261" width="14.83203125" customWidth="1"/>
    <col min="12514" max="12514" width="22.83203125" bestFit="1" customWidth="1"/>
    <col min="12515" max="12515" width="14.83203125" bestFit="1" customWidth="1"/>
    <col min="12516" max="12517" width="14.83203125" customWidth="1"/>
    <col min="12770" max="12770" width="22.83203125" bestFit="1" customWidth="1"/>
    <col min="12771" max="12771" width="14.83203125" bestFit="1" customWidth="1"/>
    <col min="12772" max="12773" width="14.83203125" customWidth="1"/>
    <col min="13026" max="13026" width="22.83203125" bestFit="1" customWidth="1"/>
    <col min="13027" max="13027" width="14.83203125" bestFit="1" customWidth="1"/>
    <col min="13028" max="13029" width="14.83203125" customWidth="1"/>
    <col min="13282" max="13282" width="22.83203125" bestFit="1" customWidth="1"/>
    <col min="13283" max="13283" width="14.83203125" bestFit="1" customWidth="1"/>
    <col min="13284" max="13285" width="14.83203125" customWidth="1"/>
    <col min="13538" max="13538" width="22.83203125" bestFit="1" customWidth="1"/>
    <col min="13539" max="13539" width="14.83203125" bestFit="1" customWidth="1"/>
    <col min="13540" max="13541" width="14.83203125" customWidth="1"/>
    <col min="13794" max="13794" width="22.83203125" bestFit="1" customWidth="1"/>
    <col min="13795" max="13795" width="14.83203125" bestFit="1" customWidth="1"/>
    <col min="13796" max="13797" width="14.83203125" customWidth="1"/>
    <col min="14050" max="14050" width="22.83203125" bestFit="1" customWidth="1"/>
    <col min="14051" max="14051" width="14.83203125" bestFit="1" customWidth="1"/>
    <col min="14052" max="14053" width="14.83203125" customWidth="1"/>
    <col min="14306" max="14306" width="22.83203125" bestFit="1" customWidth="1"/>
    <col min="14307" max="14307" width="14.83203125" bestFit="1" customWidth="1"/>
    <col min="14308" max="14309" width="14.83203125" customWidth="1"/>
    <col min="14562" max="14562" width="22.83203125" bestFit="1" customWidth="1"/>
    <col min="14563" max="14563" width="14.83203125" bestFit="1" customWidth="1"/>
    <col min="14564" max="14565" width="14.83203125" customWidth="1"/>
    <col min="14818" max="14818" width="22.83203125" bestFit="1" customWidth="1"/>
    <col min="14819" max="14819" width="14.83203125" bestFit="1" customWidth="1"/>
    <col min="14820" max="14821" width="14.83203125" customWidth="1"/>
    <col min="15074" max="15074" width="22.83203125" bestFit="1" customWidth="1"/>
    <col min="15075" max="15075" width="14.83203125" bestFit="1" customWidth="1"/>
    <col min="15076" max="15077" width="14.83203125" customWidth="1"/>
    <col min="15330" max="15330" width="22.83203125" bestFit="1" customWidth="1"/>
    <col min="15331" max="15331" width="14.83203125" bestFit="1" customWidth="1"/>
    <col min="15332" max="15333" width="14.83203125" customWidth="1"/>
    <col min="15586" max="15586" width="22.83203125" bestFit="1" customWidth="1"/>
    <col min="15587" max="15587" width="14.83203125" bestFit="1" customWidth="1"/>
    <col min="15588" max="15589" width="14.83203125" customWidth="1"/>
    <col min="15842" max="15842" width="22.83203125" bestFit="1" customWidth="1"/>
    <col min="15843" max="15843" width="14.83203125" bestFit="1" customWidth="1"/>
    <col min="15844" max="15845" width="14.83203125" customWidth="1"/>
    <col min="16098" max="16098" width="22.83203125" bestFit="1" customWidth="1"/>
    <col min="16099" max="16099" width="14.83203125" bestFit="1" customWidth="1"/>
    <col min="16100" max="16101" width="14.83203125" customWidth="1"/>
  </cols>
  <sheetData>
    <row r="1" spans="1:63">
      <c r="A1" s="61" t="s">
        <v>180</v>
      </c>
      <c r="B1" s="61" t="s">
        <v>1</v>
      </c>
      <c r="C1" s="61" t="s">
        <v>186</v>
      </c>
      <c r="D1" s="61" t="s">
        <v>185</v>
      </c>
      <c r="E1" s="61" t="s">
        <v>171</v>
      </c>
      <c r="F1" s="61" t="s">
        <v>173</v>
      </c>
      <c r="G1" s="61" t="s">
        <v>181</v>
      </c>
      <c r="H1" s="61" t="s">
        <v>187</v>
      </c>
      <c r="I1" s="61" t="s">
        <v>188</v>
      </c>
      <c r="J1" s="61" t="s">
        <v>182</v>
      </c>
      <c r="K1" s="61" t="s">
        <v>183</v>
      </c>
      <c r="L1" s="92" t="s">
        <v>184</v>
      </c>
      <c r="M1" s="63" t="e">
        <f>#REF!</f>
        <v>#REF!</v>
      </c>
      <c r="N1" s="63" t="e">
        <f>#REF!</f>
        <v>#REF!</v>
      </c>
      <c r="O1" s="63" t="e">
        <f>#REF!</f>
        <v>#REF!</v>
      </c>
      <c r="P1" s="63" t="e">
        <f>#REF!</f>
        <v>#REF!</v>
      </c>
      <c r="Q1" s="63" t="e">
        <f>#REF!</f>
        <v>#REF!</v>
      </c>
      <c r="R1" s="63" t="e">
        <f>#REF!</f>
        <v>#REF!</v>
      </c>
      <c r="S1" s="63" t="e">
        <f>#REF!</f>
        <v>#REF!</v>
      </c>
      <c r="T1" s="63" t="e">
        <f>#REF!</f>
        <v>#REF!</v>
      </c>
      <c r="U1" s="63" t="e">
        <f>#REF!</f>
        <v>#REF!</v>
      </c>
      <c r="V1" s="63" t="e">
        <f>#REF!</f>
        <v>#REF!</v>
      </c>
      <c r="W1" s="63" t="e">
        <f>#REF!</f>
        <v>#REF!</v>
      </c>
      <c r="X1" s="63" t="e">
        <f>#REF!</f>
        <v>#REF!</v>
      </c>
      <c r="Y1" s="63" t="e">
        <f>#REF!</f>
        <v>#REF!</v>
      </c>
      <c r="Z1" s="63" t="e">
        <f>#REF!</f>
        <v>#REF!</v>
      </c>
      <c r="AA1" s="63" t="e">
        <f>#REF!</f>
        <v>#REF!</v>
      </c>
      <c r="AB1" s="63" t="e">
        <f>#REF!</f>
        <v>#REF!</v>
      </c>
      <c r="AC1" s="63" t="e">
        <f>#REF!</f>
        <v>#REF!</v>
      </c>
      <c r="AD1" s="63" t="e">
        <f>#REF!</f>
        <v>#REF!</v>
      </c>
      <c r="AE1" s="63" t="e">
        <f>#REF!</f>
        <v>#REF!</v>
      </c>
      <c r="AF1" s="63" t="e">
        <f>#REF!</f>
        <v>#REF!</v>
      </c>
      <c r="AH1" s="63" t="e">
        <f>#REF!</f>
        <v>#REF!</v>
      </c>
      <c r="AI1" s="63" t="e">
        <f>#REF!</f>
        <v>#REF!</v>
      </c>
      <c r="AJ1" s="63" t="e">
        <f>#REF!</f>
        <v>#REF!</v>
      </c>
      <c r="AK1" s="63" t="e">
        <f>#REF!</f>
        <v>#REF!</v>
      </c>
      <c r="AL1" s="63" t="e">
        <f>#REF!</f>
        <v>#REF!</v>
      </c>
      <c r="AM1" s="63" t="e">
        <f>#REF!</f>
        <v>#REF!</v>
      </c>
      <c r="AN1" s="63" t="e">
        <f>#REF!</f>
        <v>#REF!</v>
      </c>
      <c r="AO1" s="63" t="e">
        <f>#REF!</f>
        <v>#REF!</v>
      </c>
      <c r="AP1" s="63" t="e">
        <f>#REF!</f>
        <v>#REF!</v>
      </c>
      <c r="AQ1" s="63" t="e">
        <f>#REF!</f>
        <v>#REF!</v>
      </c>
      <c r="AR1" s="63" t="e">
        <f>#REF!</f>
        <v>#REF!</v>
      </c>
      <c r="AS1" s="63" t="e">
        <f>#REF!</f>
        <v>#REF!</v>
      </c>
      <c r="AT1" s="63" t="e">
        <f>#REF!</f>
        <v>#REF!</v>
      </c>
      <c r="AU1" s="63" t="e">
        <f>#REF!</f>
        <v>#REF!</v>
      </c>
      <c r="AV1" s="63" t="e">
        <f>#REF!</f>
        <v>#REF!</v>
      </c>
      <c r="AX1" s="63" t="e">
        <f>#REF!</f>
        <v>#REF!</v>
      </c>
      <c r="AY1" s="63" t="e">
        <f>#REF!</f>
        <v>#REF!</v>
      </c>
      <c r="AZ1" s="63" t="e">
        <f>#REF!</f>
        <v>#REF!</v>
      </c>
      <c r="BA1" s="63" t="e">
        <f>#REF!</f>
        <v>#REF!</v>
      </c>
      <c r="BB1" s="63" t="e">
        <f>#REF!</f>
        <v>#REF!</v>
      </c>
      <c r="BC1" s="63" t="e">
        <f>#REF!</f>
        <v>#REF!</v>
      </c>
      <c r="BD1" s="63" t="e">
        <f>#REF!</f>
        <v>#REF!</v>
      </c>
      <c r="BE1" s="63" t="e">
        <f>#REF!</f>
        <v>#REF!</v>
      </c>
      <c r="BF1" s="63" t="e">
        <f>#REF!</f>
        <v>#REF!</v>
      </c>
      <c r="BG1" s="63" t="e">
        <f>#REF!</f>
        <v>#REF!</v>
      </c>
      <c r="BH1" s="63" t="e">
        <f>#REF!</f>
        <v>#REF!</v>
      </c>
      <c r="BI1" s="63" t="e">
        <f>#REF!</f>
        <v>#REF!</v>
      </c>
      <c r="BJ1" s="63" t="e">
        <f>#REF!</f>
        <v>#REF!</v>
      </c>
      <c r="BK1" s="63" t="e">
        <f>#REF!</f>
        <v>#REF!</v>
      </c>
    </row>
    <row r="2" spans="1:63">
      <c r="A2" s="61"/>
      <c r="B2" s="92" t="e">
        <f>#REF!</f>
        <v>#REF!</v>
      </c>
      <c r="C2" s="92" t="e">
        <f>#REF!</f>
        <v>#REF!</v>
      </c>
      <c r="D2" s="92" t="e">
        <v>#REF!</v>
      </c>
      <c r="E2" s="92" t="e">
        <v>#REF!</v>
      </c>
      <c r="F2" s="92" t="e">
        <v>#REF!</v>
      </c>
      <c r="G2" s="61"/>
      <c r="H2" s="61"/>
      <c r="I2" s="61"/>
      <c r="J2" s="61"/>
      <c r="K2" s="61"/>
      <c r="M2" s="63" t="e">
        <f>#REF!</f>
        <v>#REF!</v>
      </c>
      <c r="N2" s="63" t="e">
        <f>#REF!</f>
        <v>#REF!</v>
      </c>
      <c r="O2" s="63" t="e">
        <f>#REF!</f>
        <v>#REF!</v>
      </c>
      <c r="P2" s="63" t="e">
        <f>#REF!</f>
        <v>#REF!</v>
      </c>
      <c r="Q2" s="63" t="e">
        <f>#REF!</f>
        <v>#REF!</v>
      </c>
      <c r="R2" s="63" t="e">
        <f>#REF!</f>
        <v>#REF!</v>
      </c>
      <c r="S2" s="63" t="e">
        <f>#REF!</f>
        <v>#REF!</v>
      </c>
      <c r="T2" s="63" t="e">
        <f>#REF!</f>
        <v>#REF!</v>
      </c>
      <c r="U2" s="63" t="e">
        <f>#REF!</f>
        <v>#REF!</v>
      </c>
      <c r="V2" s="63" t="e">
        <f>#REF!</f>
        <v>#REF!</v>
      </c>
      <c r="W2" s="63" t="e">
        <f>#REF!</f>
        <v>#REF!</v>
      </c>
      <c r="X2" s="63" t="e">
        <f>#REF!</f>
        <v>#REF!</v>
      </c>
      <c r="Y2" s="63" t="e">
        <f>#REF!</f>
        <v>#REF!</v>
      </c>
      <c r="Z2" s="63" t="e">
        <f>#REF!</f>
        <v>#REF!</v>
      </c>
      <c r="AA2" s="63" t="e">
        <f>#REF!</f>
        <v>#REF!</v>
      </c>
      <c r="AB2" s="63" t="e">
        <f>#REF!</f>
        <v>#REF!</v>
      </c>
      <c r="AC2" s="63" t="e">
        <f>#REF!</f>
        <v>#REF!</v>
      </c>
      <c r="AD2" s="63" t="e">
        <f>#REF!</f>
        <v>#REF!</v>
      </c>
      <c r="AE2" s="63" t="e">
        <f>#REF!</f>
        <v>#REF!</v>
      </c>
      <c r="AF2" s="63" t="e">
        <f>#REF!</f>
        <v>#REF!</v>
      </c>
      <c r="AH2" s="63" t="e">
        <f>#REF!</f>
        <v>#REF!</v>
      </c>
      <c r="AI2" s="63" t="e">
        <f>#REF!</f>
        <v>#REF!</v>
      </c>
      <c r="AJ2" s="63" t="e">
        <f>#REF!</f>
        <v>#REF!</v>
      </c>
      <c r="AK2" s="63" t="e">
        <f>#REF!</f>
        <v>#REF!</v>
      </c>
      <c r="AL2" s="63" t="e">
        <f>#REF!</f>
        <v>#REF!</v>
      </c>
      <c r="AM2" s="63" t="e">
        <f>#REF!</f>
        <v>#REF!</v>
      </c>
      <c r="AN2" s="63" t="e">
        <f>#REF!</f>
        <v>#REF!</v>
      </c>
      <c r="AO2" s="63" t="e">
        <f>#REF!</f>
        <v>#REF!</v>
      </c>
      <c r="AP2" s="63" t="e">
        <f>#REF!</f>
        <v>#REF!</v>
      </c>
      <c r="AQ2" s="63" t="e">
        <f>#REF!</f>
        <v>#REF!</v>
      </c>
      <c r="AR2" s="63" t="e">
        <f>#REF!</f>
        <v>#REF!</v>
      </c>
      <c r="AS2" s="63" t="e">
        <f>#REF!</f>
        <v>#REF!</v>
      </c>
      <c r="AT2" s="63" t="e">
        <f>#REF!</f>
        <v>#REF!</v>
      </c>
      <c r="AU2" s="63" t="e">
        <f>#REF!</f>
        <v>#REF!</v>
      </c>
      <c r="AV2" s="63" t="e">
        <f>#REF!</f>
        <v>#REF!</v>
      </c>
      <c r="AX2" s="63" t="e">
        <f>#REF!</f>
        <v>#REF!</v>
      </c>
      <c r="AY2" s="63" t="e">
        <f>#REF!</f>
        <v>#REF!</v>
      </c>
      <c r="AZ2" s="63" t="e">
        <f>#REF!</f>
        <v>#REF!</v>
      </c>
      <c r="BA2" s="63" t="e">
        <f>#REF!</f>
        <v>#REF!</v>
      </c>
      <c r="BB2" s="63" t="e">
        <f>#REF!</f>
        <v>#REF!</v>
      </c>
      <c r="BC2" s="63" t="e">
        <f>#REF!</f>
        <v>#REF!</v>
      </c>
      <c r="BD2" s="63" t="e">
        <f>#REF!</f>
        <v>#REF!</v>
      </c>
      <c r="BE2" s="63" t="e">
        <f>#REF!</f>
        <v>#REF!</v>
      </c>
      <c r="BF2" s="63" t="e">
        <f>#REF!</f>
        <v>#REF!</v>
      </c>
      <c r="BG2" s="63" t="e">
        <f>#REF!</f>
        <v>#REF!</v>
      </c>
      <c r="BH2" s="63" t="e">
        <f>#REF!</f>
        <v>#REF!</v>
      </c>
      <c r="BI2" s="63" t="e">
        <f>#REF!</f>
        <v>#REF!</v>
      </c>
      <c r="BJ2" s="63" t="e">
        <f>#REF!</f>
        <v>#REF!</v>
      </c>
      <c r="BK2" s="63" t="e">
        <f>#REF!</f>
        <v>#REF!</v>
      </c>
    </row>
    <row r="3" spans="1:63">
      <c r="A3" s="61"/>
      <c r="B3" s="92" t="e">
        <f>#REF!</f>
        <v>#REF!</v>
      </c>
      <c r="C3" s="92" t="e">
        <f>#REF!</f>
        <v>#REF!</v>
      </c>
      <c r="D3" s="61"/>
      <c r="E3" s="92" t="e">
        <v>#REF!</v>
      </c>
      <c r="F3" s="92" t="e">
        <v>#REF!</v>
      </c>
      <c r="G3" s="61"/>
      <c r="H3" s="61"/>
      <c r="I3" s="61"/>
      <c r="J3" s="61"/>
      <c r="K3" s="61"/>
      <c r="M3" s="63" t="e">
        <f>#REF!</f>
        <v>#REF!</v>
      </c>
      <c r="N3" s="63" t="e">
        <f>#REF!</f>
        <v>#REF!</v>
      </c>
      <c r="O3" s="63" t="e">
        <f>#REF!</f>
        <v>#REF!</v>
      </c>
      <c r="P3" s="63" t="e">
        <f>#REF!</f>
        <v>#REF!</v>
      </c>
      <c r="Q3" s="63" t="e">
        <f>#REF!</f>
        <v>#REF!</v>
      </c>
      <c r="R3" s="63" t="e">
        <f>#REF!</f>
        <v>#REF!</v>
      </c>
      <c r="S3" s="63" t="e">
        <f>#REF!</f>
        <v>#REF!</v>
      </c>
      <c r="T3" s="63" t="e">
        <f>#REF!</f>
        <v>#REF!</v>
      </c>
      <c r="U3" s="63" t="e">
        <f>#REF!</f>
        <v>#REF!</v>
      </c>
      <c r="V3" s="63" t="e">
        <f>#REF!</f>
        <v>#REF!</v>
      </c>
      <c r="W3" s="63" t="e">
        <f>#REF!</f>
        <v>#REF!</v>
      </c>
      <c r="X3" s="63" t="e">
        <f>#REF!</f>
        <v>#REF!</v>
      </c>
      <c r="Y3" s="63" t="e">
        <f>#REF!</f>
        <v>#REF!</v>
      </c>
      <c r="Z3" s="63" t="e">
        <f>#REF!</f>
        <v>#REF!</v>
      </c>
      <c r="AA3" s="63" t="e">
        <f>#REF!</f>
        <v>#REF!</v>
      </c>
      <c r="AB3" s="63" t="e">
        <f>#REF!</f>
        <v>#REF!</v>
      </c>
      <c r="AC3" s="63" t="e">
        <f>#REF!</f>
        <v>#REF!</v>
      </c>
      <c r="AD3" s="63" t="e">
        <f>#REF!</f>
        <v>#REF!</v>
      </c>
      <c r="AE3" s="63" t="e">
        <f>#REF!</f>
        <v>#REF!</v>
      </c>
      <c r="AF3" s="63" t="e">
        <f>#REF!</f>
        <v>#REF!</v>
      </c>
      <c r="AH3" s="63" t="e">
        <f>#REF!</f>
        <v>#REF!</v>
      </c>
      <c r="AI3" s="63" t="e">
        <f>#REF!</f>
        <v>#REF!</v>
      </c>
      <c r="AJ3" s="63" t="e">
        <f>#REF!</f>
        <v>#REF!</v>
      </c>
      <c r="AK3" s="63" t="e">
        <f>#REF!</f>
        <v>#REF!</v>
      </c>
      <c r="AL3" s="63" t="e">
        <f>#REF!</f>
        <v>#REF!</v>
      </c>
      <c r="AM3" s="63" t="e">
        <f>#REF!</f>
        <v>#REF!</v>
      </c>
      <c r="AN3" s="63" t="e">
        <f>#REF!</f>
        <v>#REF!</v>
      </c>
      <c r="AO3" s="63" t="e">
        <f>#REF!</f>
        <v>#REF!</v>
      </c>
      <c r="AP3" s="63" t="e">
        <f>#REF!</f>
        <v>#REF!</v>
      </c>
      <c r="AQ3" s="63" t="e">
        <f>#REF!</f>
        <v>#REF!</v>
      </c>
      <c r="AR3" s="63" t="e">
        <f>#REF!</f>
        <v>#REF!</v>
      </c>
      <c r="AS3" s="63" t="e">
        <f>#REF!</f>
        <v>#REF!</v>
      </c>
      <c r="AT3" s="63" t="e">
        <f>#REF!</f>
        <v>#REF!</v>
      </c>
      <c r="AU3" s="63" t="e">
        <f>#REF!</f>
        <v>#REF!</v>
      </c>
      <c r="AV3" s="63" t="e">
        <f>#REF!</f>
        <v>#REF!</v>
      </c>
      <c r="AX3" s="63" t="e">
        <f>#REF!</f>
        <v>#REF!</v>
      </c>
      <c r="AY3" s="63" t="e">
        <f>#REF!</f>
        <v>#REF!</v>
      </c>
      <c r="AZ3" s="63" t="e">
        <f>#REF!</f>
        <v>#REF!</v>
      </c>
      <c r="BA3" s="63" t="e">
        <f>#REF!</f>
        <v>#REF!</v>
      </c>
      <c r="BB3" s="63" t="e">
        <f>#REF!</f>
        <v>#REF!</v>
      </c>
      <c r="BC3" s="63" t="e">
        <f>#REF!</f>
        <v>#REF!</v>
      </c>
      <c r="BD3" s="63" t="e">
        <f>#REF!</f>
        <v>#REF!</v>
      </c>
      <c r="BE3" s="63" t="e">
        <f>#REF!</f>
        <v>#REF!</v>
      </c>
      <c r="BF3" s="63" t="e">
        <f>#REF!</f>
        <v>#REF!</v>
      </c>
      <c r="BG3" s="63" t="e">
        <f>#REF!</f>
        <v>#REF!</v>
      </c>
      <c r="BH3" s="63" t="e">
        <f>#REF!</f>
        <v>#REF!</v>
      </c>
      <c r="BI3" s="63" t="e">
        <f>#REF!</f>
        <v>#REF!</v>
      </c>
      <c r="BJ3" s="63" t="e">
        <f>#REF!</f>
        <v>#REF!</v>
      </c>
      <c r="BK3" s="63" t="e">
        <f>#REF!</f>
        <v>#REF!</v>
      </c>
    </row>
    <row r="4" spans="1:63">
      <c r="A4" s="61"/>
      <c r="B4" s="92" t="e">
        <f>#REF!</f>
        <v>#REF!</v>
      </c>
      <c r="C4" s="92" t="e">
        <f>#REF!</f>
        <v>#REF!</v>
      </c>
      <c r="D4" s="61"/>
      <c r="E4" s="92" t="e">
        <v>#REF!</v>
      </c>
      <c r="F4" s="92" t="e">
        <v>#REF!</v>
      </c>
      <c r="G4" s="61"/>
      <c r="H4" s="61"/>
      <c r="I4" s="61"/>
      <c r="J4" s="61"/>
      <c r="K4" s="61"/>
      <c r="M4" s="63" t="e">
        <f>#REF!</f>
        <v>#REF!</v>
      </c>
      <c r="N4" s="63" t="e">
        <f>#REF!</f>
        <v>#REF!</v>
      </c>
      <c r="O4" s="63" t="e">
        <f>#REF!</f>
        <v>#REF!</v>
      </c>
      <c r="P4" s="63" t="e">
        <f>#REF!</f>
        <v>#REF!</v>
      </c>
      <c r="Q4" s="63" t="e">
        <f>#REF!</f>
        <v>#REF!</v>
      </c>
      <c r="R4" s="63" t="e">
        <f>#REF!</f>
        <v>#REF!</v>
      </c>
      <c r="S4" s="63" t="e">
        <f>#REF!</f>
        <v>#REF!</v>
      </c>
      <c r="T4" s="63" t="e">
        <f>#REF!</f>
        <v>#REF!</v>
      </c>
      <c r="U4" s="63" t="e">
        <f>#REF!</f>
        <v>#REF!</v>
      </c>
      <c r="V4" s="63" t="e">
        <f>#REF!</f>
        <v>#REF!</v>
      </c>
      <c r="W4" s="63" t="e">
        <f>#REF!</f>
        <v>#REF!</v>
      </c>
      <c r="X4" s="63" t="e">
        <f>#REF!</f>
        <v>#REF!</v>
      </c>
      <c r="Y4" s="63" t="e">
        <f>#REF!</f>
        <v>#REF!</v>
      </c>
      <c r="Z4" s="63" t="e">
        <f>#REF!</f>
        <v>#REF!</v>
      </c>
      <c r="AA4" s="63" t="e">
        <f>#REF!</f>
        <v>#REF!</v>
      </c>
      <c r="AB4" s="63" t="e">
        <f>#REF!</f>
        <v>#REF!</v>
      </c>
      <c r="AC4" s="63" t="e">
        <f>#REF!</f>
        <v>#REF!</v>
      </c>
      <c r="AD4" s="63" t="e">
        <f>#REF!</f>
        <v>#REF!</v>
      </c>
      <c r="AE4" s="63" t="e">
        <f>#REF!</f>
        <v>#REF!</v>
      </c>
      <c r="AF4" s="63" t="e">
        <f>#REF!</f>
        <v>#REF!</v>
      </c>
      <c r="AH4" s="63" t="e">
        <f>#REF!</f>
        <v>#REF!</v>
      </c>
      <c r="AI4" s="63" t="e">
        <f>#REF!</f>
        <v>#REF!</v>
      </c>
      <c r="AJ4" s="63" t="e">
        <f>#REF!</f>
        <v>#REF!</v>
      </c>
      <c r="AK4" s="63" t="e">
        <f>#REF!</f>
        <v>#REF!</v>
      </c>
      <c r="AL4" s="63" t="e">
        <f>#REF!</f>
        <v>#REF!</v>
      </c>
      <c r="AM4" s="63" t="e">
        <f>#REF!</f>
        <v>#REF!</v>
      </c>
      <c r="AN4" s="63" t="e">
        <f>#REF!</f>
        <v>#REF!</v>
      </c>
      <c r="AO4" s="63" t="e">
        <f>#REF!</f>
        <v>#REF!</v>
      </c>
      <c r="AP4" s="63" t="e">
        <f>#REF!</f>
        <v>#REF!</v>
      </c>
      <c r="AQ4" s="63" t="e">
        <f>#REF!</f>
        <v>#REF!</v>
      </c>
      <c r="AR4" s="63" t="e">
        <f>#REF!</f>
        <v>#REF!</v>
      </c>
      <c r="AS4" s="63" t="e">
        <f>#REF!</f>
        <v>#REF!</v>
      </c>
      <c r="AT4" s="63" t="e">
        <f>#REF!</f>
        <v>#REF!</v>
      </c>
      <c r="AU4" s="63" t="e">
        <f>#REF!</f>
        <v>#REF!</v>
      </c>
      <c r="AV4" s="63" t="e">
        <f>#REF!</f>
        <v>#REF!</v>
      </c>
      <c r="AX4" s="63" t="e">
        <f>#REF!</f>
        <v>#REF!</v>
      </c>
      <c r="AY4" s="63" t="e">
        <f>#REF!</f>
        <v>#REF!</v>
      </c>
      <c r="AZ4" s="63" t="e">
        <f>#REF!</f>
        <v>#REF!</v>
      </c>
      <c r="BA4" s="63" t="e">
        <f>#REF!</f>
        <v>#REF!</v>
      </c>
      <c r="BB4" s="63" t="e">
        <f>#REF!</f>
        <v>#REF!</v>
      </c>
      <c r="BC4" s="63" t="e">
        <f>#REF!</f>
        <v>#REF!</v>
      </c>
      <c r="BD4" s="63" t="e">
        <f>#REF!</f>
        <v>#REF!</v>
      </c>
      <c r="BE4" s="63" t="e">
        <f>#REF!</f>
        <v>#REF!</v>
      </c>
      <c r="BF4" s="63" t="e">
        <f>#REF!</f>
        <v>#REF!</v>
      </c>
      <c r="BG4" s="63" t="e">
        <f>#REF!</f>
        <v>#REF!</v>
      </c>
      <c r="BH4" s="63" t="e">
        <f>#REF!</f>
        <v>#REF!</v>
      </c>
      <c r="BI4" s="63" t="e">
        <f>#REF!</f>
        <v>#REF!</v>
      </c>
      <c r="BJ4" s="63" t="e">
        <f>#REF!</f>
        <v>#REF!</v>
      </c>
      <c r="BK4" s="63" t="e">
        <f>#REF!</f>
        <v>#REF!</v>
      </c>
    </row>
    <row r="5" spans="1:63">
      <c r="A5" s="61"/>
      <c r="B5" s="92" t="e">
        <f>#REF!</f>
        <v>#REF!</v>
      </c>
      <c r="C5" s="92" t="e">
        <f>#REF!</f>
        <v>#REF!</v>
      </c>
      <c r="D5" s="61"/>
      <c r="E5" s="92" t="e">
        <v>#REF!</v>
      </c>
      <c r="F5" s="92" t="e">
        <v>#REF!</v>
      </c>
      <c r="G5" s="61"/>
      <c r="H5" s="61"/>
      <c r="I5" s="61"/>
      <c r="J5" s="61"/>
      <c r="K5" s="61"/>
      <c r="M5" s="63" t="e">
        <f>#REF!</f>
        <v>#REF!</v>
      </c>
      <c r="N5" s="63" t="e">
        <f>#REF!</f>
        <v>#REF!</v>
      </c>
      <c r="O5" s="63" t="e">
        <f>#REF!</f>
        <v>#REF!</v>
      </c>
      <c r="P5" s="63" t="e">
        <f>#REF!</f>
        <v>#REF!</v>
      </c>
      <c r="Q5" s="63" t="e">
        <f>#REF!</f>
        <v>#REF!</v>
      </c>
      <c r="R5" s="63" t="e">
        <f>#REF!</f>
        <v>#REF!</v>
      </c>
      <c r="S5" s="63" t="e">
        <f>#REF!</f>
        <v>#REF!</v>
      </c>
      <c r="T5" s="63" t="e">
        <f>#REF!</f>
        <v>#REF!</v>
      </c>
      <c r="U5" s="63" t="e">
        <f>#REF!</f>
        <v>#REF!</v>
      </c>
      <c r="V5" s="63" t="e">
        <f>#REF!</f>
        <v>#REF!</v>
      </c>
      <c r="W5" s="63" t="e">
        <f>#REF!</f>
        <v>#REF!</v>
      </c>
      <c r="X5" s="63" t="e">
        <f>#REF!</f>
        <v>#REF!</v>
      </c>
      <c r="Y5" s="63" t="e">
        <f>#REF!</f>
        <v>#REF!</v>
      </c>
      <c r="Z5" s="63" t="e">
        <f>#REF!</f>
        <v>#REF!</v>
      </c>
      <c r="AA5" s="63" t="e">
        <f>#REF!</f>
        <v>#REF!</v>
      </c>
      <c r="AB5" s="63" t="e">
        <f>#REF!</f>
        <v>#REF!</v>
      </c>
      <c r="AC5" s="63" t="e">
        <f>#REF!</f>
        <v>#REF!</v>
      </c>
      <c r="AD5" s="63" t="e">
        <f>#REF!</f>
        <v>#REF!</v>
      </c>
      <c r="AE5" s="63" t="e">
        <f>#REF!</f>
        <v>#REF!</v>
      </c>
      <c r="AF5" s="63" t="e">
        <f>#REF!</f>
        <v>#REF!</v>
      </c>
      <c r="AH5" s="63" t="e">
        <f>#REF!</f>
        <v>#REF!</v>
      </c>
      <c r="AI5" s="63" t="e">
        <f>#REF!</f>
        <v>#REF!</v>
      </c>
      <c r="AJ5" s="63" t="e">
        <f>#REF!</f>
        <v>#REF!</v>
      </c>
      <c r="AK5" s="63" t="e">
        <f>#REF!</f>
        <v>#REF!</v>
      </c>
      <c r="AL5" s="63" t="e">
        <f>#REF!</f>
        <v>#REF!</v>
      </c>
      <c r="AM5" s="63" t="e">
        <f>#REF!</f>
        <v>#REF!</v>
      </c>
      <c r="AN5" s="63" t="e">
        <f>#REF!</f>
        <v>#REF!</v>
      </c>
      <c r="AO5" s="63" t="e">
        <f>#REF!</f>
        <v>#REF!</v>
      </c>
      <c r="AP5" s="63" t="e">
        <f>#REF!</f>
        <v>#REF!</v>
      </c>
      <c r="AQ5" s="63" t="e">
        <f>#REF!</f>
        <v>#REF!</v>
      </c>
      <c r="AR5" s="63" t="e">
        <f>#REF!</f>
        <v>#REF!</v>
      </c>
      <c r="AS5" s="63" t="e">
        <f>#REF!</f>
        <v>#REF!</v>
      </c>
      <c r="AT5" s="63" t="e">
        <f>#REF!</f>
        <v>#REF!</v>
      </c>
      <c r="AU5" s="63" t="e">
        <f>#REF!</f>
        <v>#REF!</v>
      </c>
      <c r="AV5" s="63" t="e">
        <f>#REF!</f>
        <v>#REF!</v>
      </c>
      <c r="AX5" s="63" t="e">
        <f>#REF!</f>
        <v>#REF!</v>
      </c>
      <c r="AY5" s="63" t="e">
        <f>#REF!</f>
        <v>#REF!</v>
      </c>
      <c r="AZ5" s="63" t="e">
        <f>#REF!</f>
        <v>#REF!</v>
      </c>
      <c r="BA5" s="63" t="e">
        <f>#REF!</f>
        <v>#REF!</v>
      </c>
      <c r="BB5" s="63" t="e">
        <f>#REF!</f>
        <v>#REF!</v>
      </c>
      <c r="BC5" s="63" t="e">
        <f>#REF!</f>
        <v>#REF!</v>
      </c>
      <c r="BD5" s="63" t="e">
        <f>#REF!</f>
        <v>#REF!</v>
      </c>
      <c r="BE5" s="63" t="e">
        <f>#REF!</f>
        <v>#REF!</v>
      </c>
      <c r="BF5" s="63" t="e">
        <f>#REF!</f>
        <v>#REF!</v>
      </c>
      <c r="BG5" s="63" t="e">
        <f>#REF!</f>
        <v>#REF!</v>
      </c>
      <c r="BH5" s="63" t="e">
        <f>#REF!</f>
        <v>#REF!</v>
      </c>
      <c r="BI5" s="63" t="e">
        <f>#REF!</f>
        <v>#REF!</v>
      </c>
      <c r="BJ5" s="63" t="e">
        <f>#REF!</f>
        <v>#REF!</v>
      </c>
      <c r="BK5" s="63" t="e">
        <f>#REF!</f>
        <v>#REF!</v>
      </c>
    </row>
    <row r="6" spans="1:63">
      <c r="A6" s="61"/>
      <c r="B6" s="92" t="e">
        <f>#REF!</f>
        <v>#REF!</v>
      </c>
      <c r="C6" s="92" t="e">
        <f>#REF!</f>
        <v>#REF!</v>
      </c>
      <c r="D6" s="61"/>
      <c r="E6" s="92" t="e">
        <v>#REF!</v>
      </c>
      <c r="F6" s="92" t="e">
        <v>#REF!</v>
      </c>
      <c r="G6" s="61"/>
      <c r="H6" s="61"/>
      <c r="I6" s="61"/>
      <c r="J6" s="61"/>
      <c r="K6" s="61"/>
      <c r="M6" s="63" t="e">
        <f>#REF!</f>
        <v>#REF!</v>
      </c>
      <c r="N6" s="63" t="e">
        <f>#REF!</f>
        <v>#REF!</v>
      </c>
      <c r="O6" s="63" t="e">
        <f>#REF!</f>
        <v>#REF!</v>
      </c>
      <c r="P6" s="63" t="e">
        <f>#REF!</f>
        <v>#REF!</v>
      </c>
      <c r="Q6" s="63" t="e">
        <f>#REF!</f>
        <v>#REF!</v>
      </c>
      <c r="R6" s="63" t="e">
        <f>#REF!</f>
        <v>#REF!</v>
      </c>
      <c r="S6" s="63" t="e">
        <f>#REF!</f>
        <v>#REF!</v>
      </c>
      <c r="T6" s="63" t="e">
        <f>#REF!</f>
        <v>#REF!</v>
      </c>
      <c r="U6" s="63" t="e">
        <f>#REF!</f>
        <v>#REF!</v>
      </c>
      <c r="V6" s="63" t="e">
        <f>#REF!</f>
        <v>#REF!</v>
      </c>
      <c r="W6" s="63" t="e">
        <f>#REF!</f>
        <v>#REF!</v>
      </c>
      <c r="X6" s="63" t="e">
        <f>#REF!</f>
        <v>#REF!</v>
      </c>
      <c r="Y6" s="63" t="e">
        <f>#REF!</f>
        <v>#REF!</v>
      </c>
      <c r="Z6" s="63" t="e">
        <f>#REF!</f>
        <v>#REF!</v>
      </c>
      <c r="AA6" s="63" t="e">
        <f>#REF!</f>
        <v>#REF!</v>
      </c>
      <c r="AB6" s="63" t="e">
        <f>#REF!</f>
        <v>#REF!</v>
      </c>
      <c r="AC6" s="63" t="e">
        <f>#REF!</f>
        <v>#REF!</v>
      </c>
      <c r="AD6" s="63" t="e">
        <f>#REF!</f>
        <v>#REF!</v>
      </c>
      <c r="AE6" s="63" t="e">
        <f>#REF!</f>
        <v>#REF!</v>
      </c>
      <c r="AF6" s="63" t="e">
        <f>#REF!</f>
        <v>#REF!</v>
      </c>
      <c r="AH6" s="63" t="e">
        <f>#REF!</f>
        <v>#REF!</v>
      </c>
      <c r="AI6" s="63" t="e">
        <f>#REF!</f>
        <v>#REF!</v>
      </c>
      <c r="AJ6" s="63" t="e">
        <f>#REF!</f>
        <v>#REF!</v>
      </c>
      <c r="AK6" s="63" t="e">
        <f>#REF!</f>
        <v>#REF!</v>
      </c>
      <c r="AL6" s="63" t="e">
        <f>#REF!</f>
        <v>#REF!</v>
      </c>
      <c r="AM6" s="63" t="e">
        <f>#REF!</f>
        <v>#REF!</v>
      </c>
      <c r="AN6" s="63" t="e">
        <f>#REF!</f>
        <v>#REF!</v>
      </c>
      <c r="AO6" s="63" t="e">
        <f>#REF!</f>
        <v>#REF!</v>
      </c>
      <c r="AP6" s="63" t="e">
        <f>#REF!</f>
        <v>#REF!</v>
      </c>
      <c r="AQ6" s="63" t="e">
        <f>#REF!</f>
        <v>#REF!</v>
      </c>
      <c r="AR6" s="63" t="e">
        <f>#REF!</f>
        <v>#REF!</v>
      </c>
      <c r="AS6" s="63" t="e">
        <f>#REF!</f>
        <v>#REF!</v>
      </c>
      <c r="AT6" s="63" t="e">
        <f>#REF!</f>
        <v>#REF!</v>
      </c>
      <c r="AU6" s="63" t="e">
        <f>#REF!</f>
        <v>#REF!</v>
      </c>
      <c r="AV6" s="63" t="e">
        <f>#REF!</f>
        <v>#REF!</v>
      </c>
      <c r="AX6" s="63" t="e">
        <f>#REF!</f>
        <v>#REF!</v>
      </c>
      <c r="AY6" s="63" t="e">
        <f>#REF!</f>
        <v>#REF!</v>
      </c>
      <c r="AZ6" s="63" t="e">
        <f>#REF!</f>
        <v>#REF!</v>
      </c>
      <c r="BA6" s="63" t="e">
        <f>#REF!</f>
        <v>#REF!</v>
      </c>
      <c r="BB6" s="63" t="e">
        <f>#REF!</f>
        <v>#REF!</v>
      </c>
      <c r="BC6" s="63" t="e">
        <f>#REF!</f>
        <v>#REF!</v>
      </c>
      <c r="BD6" s="63" t="e">
        <f>#REF!</f>
        <v>#REF!</v>
      </c>
      <c r="BE6" s="63" t="e">
        <f>#REF!</f>
        <v>#REF!</v>
      </c>
      <c r="BF6" s="63" t="e">
        <f>#REF!</f>
        <v>#REF!</v>
      </c>
      <c r="BG6" s="63" t="e">
        <f>#REF!</f>
        <v>#REF!</v>
      </c>
      <c r="BH6" s="63" t="e">
        <f>#REF!</f>
        <v>#REF!</v>
      </c>
      <c r="BI6" s="63" t="e">
        <f>#REF!</f>
        <v>#REF!</v>
      </c>
      <c r="BJ6" s="63" t="e">
        <f>#REF!</f>
        <v>#REF!</v>
      </c>
      <c r="BK6" s="63" t="e">
        <f>#REF!</f>
        <v>#REF!</v>
      </c>
    </row>
    <row r="7" spans="1:63">
      <c r="A7" s="61"/>
      <c r="B7" s="92" t="e">
        <f>#REF!</f>
        <v>#REF!</v>
      </c>
      <c r="C7" s="92" t="e">
        <f>#REF!</f>
        <v>#REF!</v>
      </c>
      <c r="D7" s="61"/>
      <c r="E7" s="92" t="e">
        <v>#REF!</v>
      </c>
      <c r="F7" s="92" t="e">
        <v>#REF!</v>
      </c>
      <c r="G7" s="61"/>
      <c r="H7" s="61"/>
      <c r="I7" s="61"/>
      <c r="J7" s="61"/>
      <c r="K7" s="61"/>
      <c r="M7" s="63" t="e">
        <f>#REF!</f>
        <v>#REF!</v>
      </c>
      <c r="N7" s="63" t="e">
        <f>#REF!</f>
        <v>#REF!</v>
      </c>
      <c r="O7" s="63" t="e">
        <f>#REF!</f>
        <v>#REF!</v>
      </c>
      <c r="P7" s="63" t="e">
        <f>#REF!</f>
        <v>#REF!</v>
      </c>
      <c r="Q7" s="63" t="e">
        <f>#REF!</f>
        <v>#REF!</v>
      </c>
      <c r="R7" s="63" t="e">
        <f>#REF!</f>
        <v>#REF!</v>
      </c>
      <c r="S7" s="63" t="e">
        <f>#REF!</f>
        <v>#REF!</v>
      </c>
      <c r="T7" s="63" t="e">
        <f>#REF!</f>
        <v>#REF!</v>
      </c>
      <c r="U7" s="63" t="e">
        <f>#REF!</f>
        <v>#REF!</v>
      </c>
      <c r="V7" s="63" t="e">
        <f>#REF!</f>
        <v>#REF!</v>
      </c>
      <c r="W7" s="63" t="e">
        <f>#REF!</f>
        <v>#REF!</v>
      </c>
      <c r="X7" s="63" t="e">
        <f>#REF!</f>
        <v>#REF!</v>
      </c>
      <c r="Y7" s="63" t="e">
        <f>#REF!</f>
        <v>#REF!</v>
      </c>
      <c r="Z7" s="63" t="e">
        <f>#REF!</f>
        <v>#REF!</v>
      </c>
      <c r="AA7" s="63" t="e">
        <f>#REF!</f>
        <v>#REF!</v>
      </c>
      <c r="AB7" s="63" t="e">
        <f>#REF!</f>
        <v>#REF!</v>
      </c>
      <c r="AC7" s="63" t="e">
        <f>#REF!</f>
        <v>#REF!</v>
      </c>
      <c r="AD7" s="63" t="e">
        <f>#REF!</f>
        <v>#REF!</v>
      </c>
      <c r="AE7" s="63" t="e">
        <f>#REF!</f>
        <v>#REF!</v>
      </c>
      <c r="AF7" s="63" t="e">
        <f>#REF!</f>
        <v>#REF!</v>
      </c>
      <c r="AH7" s="63" t="e">
        <f>#REF!</f>
        <v>#REF!</v>
      </c>
      <c r="AI7" s="63" t="e">
        <f>#REF!</f>
        <v>#REF!</v>
      </c>
      <c r="AJ7" s="63" t="e">
        <f>#REF!</f>
        <v>#REF!</v>
      </c>
      <c r="AK7" s="63" t="e">
        <f>#REF!</f>
        <v>#REF!</v>
      </c>
      <c r="AL7" s="63" t="e">
        <f>#REF!</f>
        <v>#REF!</v>
      </c>
      <c r="AM7" s="63" t="e">
        <f>#REF!</f>
        <v>#REF!</v>
      </c>
      <c r="AN7" s="63" t="e">
        <f>#REF!</f>
        <v>#REF!</v>
      </c>
      <c r="AO7" s="63" t="e">
        <f>#REF!</f>
        <v>#REF!</v>
      </c>
      <c r="AP7" s="63" t="e">
        <f>#REF!</f>
        <v>#REF!</v>
      </c>
      <c r="AQ7" s="63" t="e">
        <f>#REF!</f>
        <v>#REF!</v>
      </c>
      <c r="AR7" s="63" t="e">
        <f>#REF!</f>
        <v>#REF!</v>
      </c>
      <c r="AS7" s="63" t="e">
        <f>#REF!</f>
        <v>#REF!</v>
      </c>
      <c r="AT7" s="63" t="e">
        <f>#REF!</f>
        <v>#REF!</v>
      </c>
      <c r="AU7" s="63" t="e">
        <f>#REF!</f>
        <v>#REF!</v>
      </c>
      <c r="AV7" s="63" t="e">
        <f>#REF!</f>
        <v>#REF!</v>
      </c>
      <c r="AX7" s="63" t="e">
        <f>#REF!</f>
        <v>#REF!</v>
      </c>
      <c r="AY7" s="63" t="e">
        <f>#REF!</f>
        <v>#REF!</v>
      </c>
      <c r="AZ7" s="63" t="e">
        <f>#REF!</f>
        <v>#REF!</v>
      </c>
      <c r="BA7" s="63" t="e">
        <f>#REF!</f>
        <v>#REF!</v>
      </c>
      <c r="BB7" s="63" t="e">
        <f>#REF!</f>
        <v>#REF!</v>
      </c>
      <c r="BC7" s="63" t="e">
        <f>#REF!</f>
        <v>#REF!</v>
      </c>
      <c r="BD7" s="63" t="e">
        <f>#REF!</f>
        <v>#REF!</v>
      </c>
      <c r="BE7" s="63" t="e">
        <f>#REF!</f>
        <v>#REF!</v>
      </c>
      <c r="BF7" s="63" t="e">
        <f>#REF!</f>
        <v>#REF!</v>
      </c>
      <c r="BG7" s="63" t="e">
        <f>#REF!</f>
        <v>#REF!</v>
      </c>
      <c r="BH7" s="63" t="e">
        <f>#REF!</f>
        <v>#REF!</v>
      </c>
      <c r="BI7" s="63" t="e">
        <f>#REF!</f>
        <v>#REF!</v>
      </c>
      <c r="BJ7" s="63" t="e">
        <f>#REF!</f>
        <v>#REF!</v>
      </c>
      <c r="BK7" s="63" t="e">
        <f>#REF!</f>
        <v>#REF!</v>
      </c>
    </row>
    <row r="8" spans="1:63">
      <c r="B8" s="92" t="e">
        <f>#REF!</f>
        <v>#REF!</v>
      </c>
      <c r="C8" s="92" t="e">
        <f>#REF!</f>
        <v>#REF!</v>
      </c>
      <c r="E8" s="92" t="e">
        <v>#REF!</v>
      </c>
      <c r="F8" s="92" t="e">
        <v>#REF!</v>
      </c>
      <c r="M8" s="63" t="e">
        <f>#REF!</f>
        <v>#REF!</v>
      </c>
      <c r="N8" s="63" t="e">
        <f>#REF!</f>
        <v>#REF!</v>
      </c>
      <c r="O8" s="63" t="e">
        <f>#REF!</f>
        <v>#REF!</v>
      </c>
      <c r="P8" s="63" t="e">
        <f>#REF!</f>
        <v>#REF!</v>
      </c>
      <c r="Q8" s="63" t="e">
        <f>#REF!</f>
        <v>#REF!</v>
      </c>
      <c r="R8" s="63" t="e">
        <f>#REF!</f>
        <v>#REF!</v>
      </c>
      <c r="S8" s="63" t="e">
        <f>#REF!</f>
        <v>#REF!</v>
      </c>
      <c r="T8" s="63" t="e">
        <f>#REF!</f>
        <v>#REF!</v>
      </c>
      <c r="U8" s="63" t="e">
        <f>#REF!</f>
        <v>#REF!</v>
      </c>
      <c r="V8" s="63" t="e">
        <f>#REF!</f>
        <v>#REF!</v>
      </c>
      <c r="W8" s="63" t="e">
        <f>#REF!</f>
        <v>#REF!</v>
      </c>
      <c r="X8" s="63" t="e">
        <f>#REF!</f>
        <v>#REF!</v>
      </c>
      <c r="Y8" s="63" t="e">
        <f>#REF!</f>
        <v>#REF!</v>
      </c>
      <c r="Z8" s="63" t="e">
        <f>#REF!</f>
        <v>#REF!</v>
      </c>
      <c r="AA8" s="63" t="e">
        <f>#REF!</f>
        <v>#REF!</v>
      </c>
      <c r="AB8" s="63" t="e">
        <f>#REF!</f>
        <v>#REF!</v>
      </c>
      <c r="AC8" s="63" t="e">
        <f>#REF!</f>
        <v>#REF!</v>
      </c>
      <c r="AD8" s="63" t="e">
        <f>#REF!</f>
        <v>#REF!</v>
      </c>
      <c r="AE8" s="63" t="e">
        <f>#REF!</f>
        <v>#REF!</v>
      </c>
      <c r="AF8" s="63" t="e">
        <f>#REF!</f>
        <v>#REF!</v>
      </c>
      <c r="AH8" s="63" t="e">
        <f>#REF!</f>
        <v>#REF!</v>
      </c>
      <c r="AI8" s="63" t="e">
        <f>#REF!</f>
        <v>#REF!</v>
      </c>
      <c r="AJ8" s="63" t="e">
        <f>#REF!</f>
        <v>#REF!</v>
      </c>
      <c r="AK8" s="63" t="e">
        <f>#REF!</f>
        <v>#REF!</v>
      </c>
      <c r="AL8" s="63" t="e">
        <f>#REF!</f>
        <v>#REF!</v>
      </c>
      <c r="AM8" s="63" t="e">
        <f>#REF!</f>
        <v>#REF!</v>
      </c>
      <c r="AN8" s="63" t="e">
        <f>#REF!</f>
        <v>#REF!</v>
      </c>
      <c r="AO8" s="63" t="e">
        <f>#REF!</f>
        <v>#REF!</v>
      </c>
      <c r="AP8" s="63" t="e">
        <f>#REF!</f>
        <v>#REF!</v>
      </c>
      <c r="AQ8" s="63" t="e">
        <f>#REF!</f>
        <v>#REF!</v>
      </c>
      <c r="AR8" s="63" t="e">
        <f>#REF!</f>
        <v>#REF!</v>
      </c>
      <c r="AS8" s="63" t="e">
        <f>#REF!</f>
        <v>#REF!</v>
      </c>
      <c r="AT8" s="63" t="e">
        <f>#REF!</f>
        <v>#REF!</v>
      </c>
      <c r="AU8" s="63" t="e">
        <f>#REF!</f>
        <v>#REF!</v>
      </c>
      <c r="AV8" s="63" t="e">
        <f>#REF!</f>
        <v>#REF!</v>
      </c>
      <c r="AX8" s="63" t="e">
        <f>#REF!</f>
        <v>#REF!</v>
      </c>
      <c r="AY8" s="63" t="e">
        <f>#REF!</f>
        <v>#REF!</v>
      </c>
      <c r="AZ8" s="63" t="e">
        <f>#REF!</f>
        <v>#REF!</v>
      </c>
      <c r="BA8" s="63" t="e">
        <f>#REF!</f>
        <v>#REF!</v>
      </c>
      <c r="BB8" s="63" t="e">
        <f>#REF!</f>
        <v>#REF!</v>
      </c>
      <c r="BC8" s="63" t="e">
        <f>#REF!</f>
        <v>#REF!</v>
      </c>
      <c r="BD8" s="63" t="e">
        <f>#REF!</f>
        <v>#REF!</v>
      </c>
      <c r="BE8" s="63" t="e">
        <f>#REF!</f>
        <v>#REF!</v>
      </c>
      <c r="BF8" s="63" t="e">
        <f>#REF!</f>
        <v>#REF!</v>
      </c>
      <c r="BG8" s="63" t="e">
        <f>#REF!</f>
        <v>#REF!</v>
      </c>
      <c r="BH8" s="63" t="e">
        <f>#REF!</f>
        <v>#REF!</v>
      </c>
      <c r="BI8" s="63" t="e">
        <f>#REF!</f>
        <v>#REF!</v>
      </c>
      <c r="BJ8" s="63" t="e">
        <f>#REF!</f>
        <v>#REF!</v>
      </c>
      <c r="BK8" s="63" t="e">
        <f>#REF!</f>
        <v>#REF!</v>
      </c>
    </row>
    <row r="9" spans="1:63">
      <c r="B9" s="92" t="e">
        <f>#REF!</f>
        <v>#REF!</v>
      </c>
      <c r="C9" s="92" t="e">
        <f>#REF!</f>
        <v>#REF!</v>
      </c>
      <c r="E9" s="92" t="e">
        <v>#REF!</v>
      </c>
      <c r="F9" s="92" t="e">
        <v>#REF!</v>
      </c>
      <c r="M9" s="63" t="e">
        <f>#REF!</f>
        <v>#REF!</v>
      </c>
      <c r="N9" s="63" t="e">
        <f>#REF!</f>
        <v>#REF!</v>
      </c>
      <c r="O9" s="63" t="e">
        <f>#REF!</f>
        <v>#REF!</v>
      </c>
      <c r="P9" s="63" t="e">
        <f>#REF!</f>
        <v>#REF!</v>
      </c>
      <c r="Q9" s="63" t="e">
        <f>#REF!</f>
        <v>#REF!</v>
      </c>
      <c r="R9" s="63" t="e">
        <f>#REF!</f>
        <v>#REF!</v>
      </c>
      <c r="S9" s="63" t="e">
        <f>#REF!</f>
        <v>#REF!</v>
      </c>
      <c r="T9" s="63" t="e">
        <f>#REF!</f>
        <v>#REF!</v>
      </c>
      <c r="U9" s="63" t="e">
        <f>#REF!</f>
        <v>#REF!</v>
      </c>
      <c r="V9" s="63" t="e">
        <f>#REF!</f>
        <v>#REF!</v>
      </c>
      <c r="W9" s="63" t="e">
        <f>#REF!</f>
        <v>#REF!</v>
      </c>
      <c r="X9" s="63" t="e">
        <f>#REF!</f>
        <v>#REF!</v>
      </c>
      <c r="Y9" s="63" t="e">
        <f>#REF!</f>
        <v>#REF!</v>
      </c>
      <c r="Z9" s="63" t="e">
        <f>#REF!</f>
        <v>#REF!</v>
      </c>
      <c r="AA9" s="63" t="e">
        <f>#REF!</f>
        <v>#REF!</v>
      </c>
      <c r="AB9" s="63" t="e">
        <f>#REF!</f>
        <v>#REF!</v>
      </c>
      <c r="AC9" s="63" t="e">
        <f>#REF!</f>
        <v>#REF!</v>
      </c>
      <c r="AD9" s="63" t="e">
        <f>#REF!</f>
        <v>#REF!</v>
      </c>
      <c r="AE9" s="63" t="e">
        <f>#REF!</f>
        <v>#REF!</v>
      </c>
      <c r="AF9" s="63" t="e">
        <f>#REF!</f>
        <v>#REF!</v>
      </c>
      <c r="AH9" s="63" t="e">
        <f>#REF!</f>
        <v>#REF!</v>
      </c>
      <c r="AI9" s="63" t="e">
        <f>#REF!</f>
        <v>#REF!</v>
      </c>
      <c r="AJ9" s="63" t="e">
        <f>#REF!</f>
        <v>#REF!</v>
      </c>
      <c r="AK9" s="63" t="e">
        <f>#REF!</f>
        <v>#REF!</v>
      </c>
      <c r="AL9" s="63" t="e">
        <f>#REF!</f>
        <v>#REF!</v>
      </c>
      <c r="AM9" s="63" t="e">
        <f>#REF!</f>
        <v>#REF!</v>
      </c>
      <c r="AN9" s="63" t="e">
        <f>#REF!</f>
        <v>#REF!</v>
      </c>
      <c r="AO9" s="63" t="e">
        <f>#REF!</f>
        <v>#REF!</v>
      </c>
      <c r="AP9" s="63" t="e">
        <f>#REF!</f>
        <v>#REF!</v>
      </c>
      <c r="AQ9" s="63" t="e">
        <f>#REF!</f>
        <v>#REF!</v>
      </c>
      <c r="AR9" s="63" t="e">
        <f>#REF!</f>
        <v>#REF!</v>
      </c>
      <c r="AS9" s="63" t="e">
        <f>#REF!</f>
        <v>#REF!</v>
      </c>
      <c r="AT9" s="63" t="e">
        <f>#REF!</f>
        <v>#REF!</v>
      </c>
      <c r="AU9" s="63" t="e">
        <f>#REF!</f>
        <v>#REF!</v>
      </c>
      <c r="AV9" s="63" t="e">
        <f>#REF!</f>
        <v>#REF!</v>
      </c>
      <c r="AX9" s="63" t="e">
        <f>#REF!</f>
        <v>#REF!</v>
      </c>
      <c r="AY9" s="63" t="e">
        <f>#REF!</f>
        <v>#REF!</v>
      </c>
      <c r="AZ9" s="63" t="e">
        <f>#REF!</f>
        <v>#REF!</v>
      </c>
      <c r="BA9" s="63" t="e">
        <f>#REF!</f>
        <v>#REF!</v>
      </c>
      <c r="BB9" s="63" t="e">
        <f>#REF!</f>
        <v>#REF!</v>
      </c>
      <c r="BC9" s="63" t="e">
        <f>#REF!</f>
        <v>#REF!</v>
      </c>
      <c r="BD9" s="63" t="e">
        <f>#REF!</f>
        <v>#REF!</v>
      </c>
      <c r="BE9" s="63" t="e">
        <f>#REF!</f>
        <v>#REF!</v>
      </c>
      <c r="BF9" s="63" t="e">
        <f>#REF!</f>
        <v>#REF!</v>
      </c>
      <c r="BG9" s="63" t="e">
        <f>#REF!</f>
        <v>#REF!</v>
      </c>
      <c r="BH9" s="63" t="e">
        <f>#REF!</f>
        <v>#REF!</v>
      </c>
      <c r="BI9" s="63" t="e">
        <f>#REF!</f>
        <v>#REF!</v>
      </c>
      <c r="BJ9" s="63" t="e">
        <f>#REF!</f>
        <v>#REF!</v>
      </c>
      <c r="BK9" s="63" t="e">
        <f>#REF!</f>
        <v>#REF!</v>
      </c>
    </row>
    <row r="10" spans="1:63">
      <c r="B10" s="92" t="e">
        <f>#REF!</f>
        <v>#REF!</v>
      </c>
      <c r="C10" s="92" t="e">
        <f>#REF!</f>
        <v>#REF!</v>
      </c>
      <c r="E10" s="92" t="e">
        <v>#REF!</v>
      </c>
      <c r="F10" s="92" t="e">
        <v>#REF!</v>
      </c>
      <c r="M10" s="63" t="e">
        <f>#REF!</f>
        <v>#REF!</v>
      </c>
      <c r="N10" s="63" t="e">
        <f>#REF!</f>
        <v>#REF!</v>
      </c>
      <c r="O10" s="63" t="e">
        <f>#REF!</f>
        <v>#REF!</v>
      </c>
      <c r="P10" s="63" t="e">
        <f>#REF!</f>
        <v>#REF!</v>
      </c>
      <c r="Q10" s="63" t="e">
        <f>#REF!</f>
        <v>#REF!</v>
      </c>
      <c r="R10" s="63" t="e">
        <f>#REF!</f>
        <v>#REF!</v>
      </c>
      <c r="S10" s="63" t="e">
        <f>#REF!</f>
        <v>#REF!</v>
      </c>
      <c r="T10" s="63" t="e">
        <f>#REF!</f>
        <v>#REF!</v>
      </c>
      <c r="U10" s="63" t="e">
        <f>#REF!</f>
        <v>#REF!</v>
      </c>
      <c r="V10" s="63" t="e">
        <f>#REF!</f>
        <v>#REF!</v>
      </c>
      <c r="W10" s="63" t="e">
        <f>#REF!</f>
        <v>#REF!</v>
      </c>
      <c r="X10" s="63" t="e">
        <f>#REF!</f>
        <v>#REF!</v>
      </c>
      <c r="Y10" s="63" t="e">
        <f>#REF!</f>
        <v>#REF!</v>
      </c>
      <c r="Z10" s="63" t="e">
        <f>#REF!</f>
        <v>#REF!</v>
      </c>
      <c r="AA10" s="63" t="e">
        <f>#REF!</f>
        <v>#REF!</v>
      </c>
      <c r="AB10" s="63" t="e">
        <f>#REF!</f>
        <v>#REF!</v>
      </c>
      <c r="AC10" s="63" t="e">
        <f>#REF!</f>
        <v>#REF!</v>
      </c>
      <c r="AD10" s="63" t="e">
        <f>#REF!</f>
        <v>#REF!</v>
      </c>
      <c r="AE10" s="63" t="e">
        <f>#REF!</f>
        <v>#REF!</v>
      </c>
      <c r="AF10" s="63" t="e">
        <f>#REF!</f>
        <v>#REF!</v>
      </c>
      <c r="AH10" s="63" t="e">
        <f>#REF!</f>
        <v>#REF!</v>
      </c>
      <c r="AI10" s="63" t="e">
        <f>#REF!</f>
        <v>#REF!</v>
      </c>
      <c r="AJ10" s="63" t="e">
        <f>#REF!</f>
        <v>#REF!</v>
      </c>
      <c r="AK10" s="63" t="e">
        <f>#REF!</f>
        <v>#REF!</v>
      </c>
      <c r="AL10" s="63" t="e">
        <f>#REF!</f>
        <v>#REF!</v>
      </c>
      <c r="AM10" s="63" t="e">
        <f>#REF!</f>
        <v>#REF!</v>
      </c>
      <c r="AN10" s="63" t="e">
        <f>#REF!</f>
        <v>#REF!</v>
      </c>
      <c r="AO10" s="63" t="e">
        <f>#REF!</f>
        <v>#REF!</v>
      </c>
      <c r="AP10" s="63" t="e">
        <f>#REF!</f>
        <v>#REF!</v>
      </c>
      <c r="AQ10" s="63" t="e">
        <f>#REF!</f>
        <v>#REF!</v>
      </c>
      <c r="AR10" s="63" t="e">
        <f>#REF!</f>
        <v>#REF!</v>
      </c>
      <c r="AS10" s="63" t="e">
        <f>#REF!</f>
        <v>#REF!</v>
      </c>
      <c r="AT10" s="63" t="e">
        <f>#REF!</f>
        <v>#REF!</v>
      </c>
      <c r="AU10" s="63" t="e">
        <f>#REF!</f>
        <v>#REF!</v>
      </c>
      <c r="AV10" s="63" t="e">
        <f>#REF!</f>
        <v>#REF!</v>
      </c>
      <c r="AX10" s="63" t="e">
        <f>#REF!</f>
        <v>#REF!</v>
      </c>
      <c r="AY10" s="63" t="e">
        <f>#REF!</f>
        <v>#REF!</v>
      </c>
      <c r="AZ10" s="63" t="e">
        <f>#REF!</f>
        <v>#REF!</v>
      </c>
      <c r="BA10" s="63" t="e">
        <f>#REF!</f>
        <v>#REF!</v>
      </c>
      <c r="BB10" s="63" t="e">
        <f>#REF!</f>
        <v>#REF!</v>
      </c>
      <c r="BC10" s="63" t="e">
        <f>#REF!</f>
        <v>#REF!</v>
      </c>
      <c r="BD10" s="63" t="e">
        <f>#REF!</f>
        <v>#REF!</v>
      </c>
      <c r="BE10" s="63" t="e">
        <f>#REF!</f>
        <v>#REF!</v>
      </c>
      <c r="BF10" s="63" t="e">
        <f>#REF!</f>
        <v>#REF!</v>
      </c>
      <c r="BG10" s="63" t="e">
        <f>#REF!</f>
        <v>#REF!</v>
      </c>
      <c r="BH10" s="63" t="e">
        <f>#REF!</f>
        <v>#REF!</v>
      </c>
      <c r="BI10" s="63" t="e">
        <f>#REF!</f>
        <v>#REF!</v>
      </c>
      <c r="BJ10" s="63" t="e">
        <f>#REF!</f>
        <v>#REF!</v>
      </c>
      <c r="BK10" s="63" t="e">
        <f>#REF!</f>
        <v>#REF!</v>
      </c>
    </row>
    <row r="11" spans="1:63">
      <c r="B11" s="92" t="e">
        <f>#REF!</f>
        <v>#REF!</v>
      </c>
      <c r="C11" s="92" t="e">
        <f>#REF!</f>
        <v>#REF!</v>
      </c>
      <c r="E11" s="92" t="e">
        <v>#REF!</v>
      </c>
      <c r="F11" s="92" t="e">
        <v>#REF!</v>
      </c>
      <c r="M11" s="63" t="e">
        <f>#REF!</f>
        <v>#REF!</v>
      </c>
      <c r="N11" s="63" t="e">
        <f>#REF!</f>
        <v>#REF!</v>
      </c>
      <c r="O11" s="63" t="e">
        <f>#REF!</f>
        <v>#REF!</v>
      </c>
      <c r="P11" s="63" t="e">
        <f>#REF!</f>
        <v>#REF!</v>
      </c>
      <c r="Q11" s="63" t="e">
        <f>#REF!</f>
        <v>#REF!</v>
      </c>
      <c r="R11" s="63" t="e">
        <f>#REF!</f>
        <v>#REF!</v>
      </c>
      <c r="S11" s="63" t="e">
        <f>#REF!</f>
        <v>#REF!</v>
      </c>
      <c r="T11" s="63" t="e">
        <f>#REF!</f>
        <v>#REF!</v>
      </c>
      <c r="U11" s="63" t="e">
        <f>#REF!</f>
        <v>#REF!</v>
      </c>
      <c r="V11" s="63" t="e">
        <f>#REF!</f>
        <v>#REF!</v>
      </c>
      <c r="W11" s="63" t="e">
        <f>#REF!</f>
        <v>#REF!</v>
      </c>
      <c r="X11" s="63" t="e">
        <f>#REF!</f>
        <v>#REF!</v>
      </c>
      <c r="Y11" s="63" t="e">
        <f>#REF!</f>
        <v>#REF!</v>
      </c>
      <c r="Z11" s="63" t="e">
        <f>#REF!</f>
        <v>#REF!</v>
      </c>
      <c r="AA11" s="63" t="e">
        <f>#REF!</f>
        <v>#REF!</v>
      </c>
      <c r="AB11" s="63" t="e">
        <f>#REF!</f>
        <v>#REF!</v>
      </c>
      <c r="AC11" s="63" t="e">
        <f>#REF!</f>
        <v>#REF!</v>
      </c>
      <c r="AD11" s="63" t="e">
        <f>#REF!</f>
        <v>#REF!</v>
      </c>
      <c r="AE11" s="63" t="e">
        <f>#REF!</f>
        <v>#REF!</v>
      </c>
      <c r="AF11" s="63" t="e">
        <f>#REF!</f>
        <v>#REF!</v>
      </c>
      <c r="AH11" s="63" t="e">
        <f>#REF!</f>
        <v>#REF!</v>
      </c>
      <c r="AI11" s="63" t="e">
        <f>#REF!</f>
        <v>#REF!</v>
      </c>
      <c r="AJ11" s="63" t="e">
        <f>#REF!</f>
        <v>#REF!</v>
      </c>
      <c r="AK11" s="63" t="e">
        <f>#REF!</f>
        <v>#REF!</v>
      </c>
      <c r="AL11" s="63" t="e">
        <f>#REF!</f>
        <v>#REF!</v>
      </c>
      <c r="AM11" s="63" t="e">
        <f>#REF!</f>
        <v>#REF!</v>
      </c>
      <c r="AN11" s="63" t="e">
        <f>#REF!</f>
        <v>#REF!</v>
      </c>
      <c r="AO11" s="63" t="e">
        <f>#REF!</f>
        <v>#REF!</v>
      </c>
      <c r="AP11" s="63" t="e">
        <f>#REF!</f>
        <v>#REF!</v>
      </c>
      <c r="AQ11" s="63" t="e">
        <f>#REF!</f>
        <v>#REF!</v>
      </c>
      <c r="AR11" s="63" t="e">
        <f>#REF!</f>
        <v>#REF!</v>
      </c>
      <c r="AS11" s="63" t="e">
        <f>#REF!</f>
        <v>#REF!</v>
      </c>
      <c r="AT11" s="63" t="e">
        <f>#REF!</f>
        <v>#REF!</v>
      </c>
      <c r="AU11" s="63" t="e">
        <f>#REF!</f>
        <v>#REF!</v>
      </c>
      <c r="AV11" s="63" t="e">
        <f>#REF!</f>
        <v>#REF!</v>
      </c>
      <c r="AX11" s="63" t="e">
        <f>#REF!</f>
        <v>#REF!</v>
      </c>
      <c r="AY11" s="63" t="e">
        <f>#REF!</f>
        <v>#REF!</v>
      </c>
      <c r="AZ11" s="63" t="e">
        <f>#REF!</f>
        <v>#REF!</v>
      </c>
      <c r="BA11" s="63" t="e">
        <f>#REF!</f>
        <v>#REF!</v>
      </c>
      <c r="BB11" s="63" t="e">
        <f>#REF!</f>
        <v>#REF!</v>
      </c>
      <c r="BC11" s="63" t="e">
        <f>#REF!</f>
        <v>#REF!</v>
      </c>
      <c r="BD11" s="63" t="e">
        <f>#REF!</f>
        <v>#REF!</v>
      </c>
      <c r="BE11" s="63" t="e">
        <f>#REF!</f>
        <v>#REF!</v>
      </c>
      <c r="BF11" s="63" t="e">
        <f>#REF!</f>
        <v>#REF!</v>
      </c>
      <c r="BG11" s="63" t="e">
        <f>#REF!</f>
        <v>#REF!</v>
      </c>
      <c r="BH11" s="63" t="e">
        <f>#REF!</f>
        <v>#REF!</v>
      </c>
      <c r="BI11" s="63" t="e">
        <f>#REF!</f>
        <v>#REF!</v>
      </c>
      <c r="BJ11" s="63" t="e">
        <f>#REF!</f>
        <v>#REF!</v>
      </c>
      <c r="BK11" s="63" t="e">
        <f>#REF!</f>
        <v>#REF!</v>
      </c>
    </row>
    <row r="12" spans="1:63">
      <c r="B12" s="92" t="e">
        <f>#REF!</f>
        <v>#REF!</v>
      </c>
      <c r="C12" s="92" t="e">
        <f>#REF!</f>
        <v>#REF!</v>
      </c>
      <c r="E12" s="92" t="e">
        <v>#REF!</v>
      </c>
      <c r="F12" s="92" t="e">
        <v>#REF!</v>
      </c>
      <c r="M12" s="63" t="e">
        <f>#REF!</f>
        <v>#REF!</v>
      </c>
      <c r="N12" s="63" t="e">
        <f>#REF!</f>
        <v>#REF!</v>
      </c>
      <c r="O12" s="63" t="e">
        <f>#REF!</f>
        <v>#REF!</v>
      </c>
      <c r="P12" s="63" t="e">
        <f>#REF!</f>
        <v>#REF!</v>
      </c>
      <c r="Q12" s="63" t="e">
        <f>#REF!</f>
        <v>#REF!</v>
      </c>
      <c r="R12" s="63" t="e">
        <f>#REF!</f>
        <v>#REF!</v>
      </c>
      <c r="S12" s="63" t="e">
        <f>#REF!</f>
        <v>#REF!</v>
      </c>
      <c r="T12" s="63" t="e">
        <f>#REF!</f>
        <v>#REF!</v>
      </c>
      <c r="U12" s="63" t="e">
        <f>#REF!</f>
        <v>#REF!</v>
      </c>
      <c r="V12" s="63" t="e">
        <f>#REF!</f>
        <v>#REF!</v>
      </c>
      <c r="W12" s="63" t="e">
        <f>#REF!</f>
        <v>#REF!</v>
      </c>
      <c r="X12" s="63" t="e">
        <f>#REF!</f>
        <v>#REF!</v>
      </c>
      <c r="Y12" s="63" t="e">
        <f>#REF!</f>
        <v>#REF!</v>
      </c>
      <c r="Z12" s="63" t="e">
        <f>#REF!</f>
        <v>#REF!</v>
      </c>
      <c r="AA12" s="63" t="e">
        <f>#REF!</f>
        <v>#REF!</v>
      </c>
      <c r="AB12" s="63" t="e">
        <f>#REF!</f>
        <v>#REF!</v>
      </c>
      <c r="AC12" s="63" t="e">
        <f>#REF!</f>
        <v>#REF!</v>
      </c>
      <c r="AD12" s="63" t="e">
        <f>#REF!</f>
        <v>#REF!</v>
      </c>
      <c r="AE12" s="63" t="e">
        <f>#REF!</f>
        <v>#REF!</v>
      </c>
      <c r="AF12" s="63" t="e">
        <f>#REF!</f>
        <v>#REF!</v>
      </c>
      <c r="AH12" s="63" t="e">
        <f>#REF!</f>
        <v>#REF!</v>
      </c>
      <c r="AI12" s="63" t="e">
        <f>#REF!</f>
        <v>#REF!</v>
      </c>
      <c r="AJ12" s="63" t="e">
        <f>#REF!</f>
        <v>#REF!</v>
      </c>
      <c r="AK12" s="63" t="e">
        <f>#REF!</f>
        <v>#REF!</v>
      </c>
      <c r="AL12" s="63" t="e">
        <f>#REF!</f>
        <v>#REF!</v>
      </c>
      <c r="AM12" s="63" t="e">
        <f>#REF!</f>
        <v>#REF!</v>
      </c>
      <c r="AN12" s="63" t="e">
        <f>#REF!</f>
        <v>#REF!</v>
      </c>
      <c r="AO12" s="63" t="e">
        <f>#REF!</f>
        <v>#REF!</v>
      </c>
      <c r="AP12" s="63" t="e">
        <f>#REF!</f>
        <v>#REF!</v>
      </c>
      <c r="AQ12" s="63" t="e">
        <f>#REF!</f>
        <v>#REF!</v>
      </c>
      <c r="AR12" s="63" t="e">
        <f>#REF!</f>
        <v>#REF!</v>
      </c>
      <c r="AS12" s="63" t="e">
        <f>#REF!</f>
        <v>#REF!</v>
      </c>
      <c r="AT12" s="63" t="e">
        <f>#REF!</f>
        <v>#REF!</v>
      </c>
      <c r="AU12" s="63" t="e">
        <f>#REF!</f>
        <v>#REF!</v>
      </c>
      <c r="AV12" s="63" t="e">
        <f>#REF!</f>
        <v>#REF!</v>
      </c>
      <c r="AX12" s="63" t="e">
        <f>#REF!</f>
        <v>#REF!</v>
      </c>
      <c r="AY12" s="63" t="e">
        <f>#REF!</f>
        <v>#REF!</v>
      </c>
      <c r="AZ12" s="63" t="e">
        <f>#REF!</f>
        <v>#REF!</v>
      </c>
      <c r="BA12" s="63" t="e">
        <f>#REF!</f>
        <v>#REF!</v>
      </c>
      <c r="BB12" s="63" t="e">
        <f>#REF!</f>
        <v>#REF!</v>
      </c>
      <c r="BC12" s="63" t="e">
        <f>#REF!</f>
        <v>#REF!</v>
      </c>
      <c r="BD12" s="63" t="e">
        <f>#REF!</f>
        <v>#REF!</v>
      </c>
      <c r="BE12" s="63" t="e">
        <f>#REF!</f>
        <v>#REF!</v>
      </c>
      <c r="BF12" s="63" t="e">
        <f>#REF!</f>
        <v>#REF!</v>
      </c>
      <c r="BG12" s="63" t="e">
        <f>#REF!</f>
        <v>#REF!</v>
      </c>
      <c r="BH12" s="63" t="e">
        <f>#REF!</f>
        <v>#REF!</v>
      </c>
      <c r="BI12" s="63" t="e">
        <f>#REF!</f>
        <v>#REF!</v>
      </c>
      <c r="BJ12" s="63" t="e">
        <f>#REF!</f>
        <v>#REF!</v>
      </c>
      <c r="BK12" s="63" t="e">
        <f>#REF!</f>
        <v>#REF!</v>
      </c>
    </row>
    <row r="13" spans="1:63">
      <c r="B13" s="92" t="e">
        <f>#REF!</f>
        <v>#REF!</v>
      </c>
      <c r="C13" s="92" t="e">
        <f>#REF!</f>
        <v>#REF!</v>
      </c>
      <c r="E13" s="92" t="e">
        <v>#REF!</v>
      </c>
      <c r="F13" s="92" t="e">
        <v>#REF!</v>
      </c>
      <c r="M13" s="63" t="e">
        <f>#REF!</f>
        <v>#REF!</v>
      </c>
      <c r="N13" s="63" t="e">
        <f>#REF!</f>
        <v>#REF!</v>
      </c>
      <c r="O13" s="63" t="e">
        <f>#REF!</f>
        <v>#REF!</v>
      </c>
      <c r="P13" s="63" t="e">
        <f>#REF!</f>
        <v>#REF!</v>
      </c>
      <c r="Q13" s="63" t="e">
        <f>#REF!</f>
        <v>#REF!</v>
      </c>
      <c r="R13" s="63" t="e">
        <f>#REF!</f>
        <v>#REF!</v>
      </c>
      <c r="S13" s="63" t="e">
        <f>#REF!</f>
        <v>#REF!</v>
      </c>
      <c r="T13" s="63" t="e">
        <f>#REF!</f>
        <v>#REF!</v>
      </c>
      <c r="U13" s="63" t="e">
        <f>#REF!</f>
        <v>#REF!</v>
      </c>
      <c r="V13" s="63" t="e">
        <f>#REF!</f>
        <v>#REF!</v>
      </c>
      <c r="W13" s="63" t="e">
        <f>#REF!</f>
        <v>#REF!</v>
      </c>
      <c r="X13" s="63" t="e">
        <f>#REF!</f>
        <v>#REF!</v>
      </c>
      <c r="Y13" s="63" t="e">
        <f>#REF!</f>
        <v>#REF!</v>
      </c>
      <c r="Z13" s="63" t="e">
        <f>#REF!</f>
        <v>#REF!</v>
      </c>
      <c r="AA13" s="63" t="e">
        <f>#REF!</f>
        <v>#REF!</v>
      </c>
      <c r="AB13" s="63" t="e">
        <f>#REF!</f>
        <v>#REF!</v>
      </c>
      <c r="AC13" s="63" t="e">
        <f>#REF!</f>
        <v>#REF!</v>
      </c>
      <c r="AD13" s="63" t="e">
        <f>#REF!</f>
        <v>#REF!</v>
      </c>
      <c r="AE13" s="63" t="e">
        <f>#REF!</f>
        <v>#REF!</v>
      </c>
      <c r="AF13" s="63" t="e">
        <f>#REF!</f>
        <v>#REF!</v>
      </c>
      <c r="AH13" s="63" t="e">
        <f>#REF!</f>
        <v>#REF!</v>
      </c>
      <c r="AI13" s="63" t="e">
        <f>#REF!</f>
        <v>#REF!</v>
      </c>
      <c r="AJ13" s="63" t="e">
        <f>#REF!</f>
        <v>#REF!</v>
      </c>
      <c r="AK13" s="63" t="e">
        <f>#REF!</f>
        <v>#REF!</v>
      </c>
      <c r="AL13" s="63" t="e">
        <f>#REF!</f>
        <v>#REF!</v>
      </c>
      <c r="AM13" s="63" t="e">
        <f>#REF!</f>
        <v>#REF!</v>
      </c>
      <c r="AN13" s="63" t="e">
        <f>#REF!</f>
        <v>#REF!</v>
      </c>
      <c r="AO13" s="63" t="e">
        <f>#REF!</f>
        <v>#REF!</v>
      </c>
      <c r="AP13" s="63" t="e">
        <f>#REF!</f>
        <v>#REF!</v>
      </c>
      <c r="AQ13" s="63" t="e">
        <f>#REF!</f>
        <v>#REF!</v>
      </c>
      <c r="AR13" s="63" t="e">
        <f>#REF!</f>
        <v>#REF!</v>
      </c>
      <c r="AS13" s="63" t="e">
        <f>#REF!</f>
        <v>#REF!</v>
      </c>
      <c r="AT13" s="63" t="e">
        <f>#REF!</f>
        <v>#REF!</v>
      </c>
      <c r="AU13" s="63" t="e">
        <f>#REF!</f>
        <v>#REF!</v>
      </c>
      <c r="AV13" s="63" t="e">
        <f>#REF!</f>
        <v>#REF!</v>
      </c>
      <c r="AX13" s="63" t="e">
        <f>#REF!</f>
        <v>#REF!</v>
      </c>
      <c r="AY13" s="63" t="e">
        <f>#REF!</f>
        <v>#REF!</v>
      </c>
      <c r="AZ13" s="63" t="e">
        <f>#REF!</f>
        <v>#REF!</v>
      </c>
      <c r="BA13" s="63" t="e">
        <f>#REF!</f>
        <v>#REF!</v>
      </c>
      <c r="BB13" s="63" t="e">
        <f>#REF!</f>
        <v>#REF!</v>
      </c>
      <c r="BC13" s="63" t="e">
        <f>#REF!</f>
        <v>#REF!</v>
      </c>
      <c r="BD13" s="63" t="e">
        <f>#REF!</f>
        <v>#REF!</v>
      </c>
      <c r="BE13" s="63" t="e">
        <f>#REF!</f>
        <v>#REF!</v>
      </c>
      <c r="BF13" s="63" t="e">
        <f>#REF!</f>
        <v>#REF!</v>
      </c>
      <c r="BG13" s="63" t="e">
        <f>#REF!</f>
        <v>#REF!</v>
      </c>
      <c r="BH13" s="63" t="e">
        <f>#REF!</f>
        <v>#REF!</v>
      </c>
      <c r="BI13" s="63" t="e">
        <f>#REF!</f>
        <v>#REF!</v>
      </c>
      <c r="BJ13" s="63" t="e">
        <f>#REF!</f>
        <v>#REF!</v>
      </c>
      <c r="BK13" s="63" t="e">
        <f>#REF!</f>
        <v>#REF!</v>
      </c>
    </row>
    <row r="14" spans="1:63">
      <c r="B14" s="92" t="e">
        <f>#REF!</f>
        <v>#REF!</v>
      </c>
      <c r="C14" s="92" t="e">
        <f>#REF!</f>
        <v>#REF!</v>
      </c>
      <c r="E14" s="92" t="e">
        <v>#REF!</v>
      </c>
      <c r="F14" s="92" t="e">
        <v>#REF!</v>
      </c>
      <c r="M14" s="63" t="e">
        <f>#REF!</f>
        <v>#REF!</v>
      </c>
      <c r="N14" s="63" t="e">
        <f>#REF!</f>
        <v>#REF!</v>
      </c>
      <c r="O14" s="63" t="e">
        <f>#REF!</f>
        <v>#REF!</v>
      </c>
      <c r="P14" s="63" t="e">
        <f>#REF!</f>
        <v>#REF!</v>
      </c>
      <c r="Q14" s="63" t="e">
        <f>#REF!</f>
        <v>#REF!</v>
      </c>
      <c r="R14" s="63" t="e">
        <f>#REF!</f>
        <v>#REF!</v>
      </c>
      <c r="S14" s="63" t="e">
        <f>#REF!</f>
        <v>#REF!</v>
      </c>
      <c r="T14" s="63" t="e">
        <f>#REF!</f>
        <v>#REF!</v>
      </c>
      <c r="U14" s="63" t="e">
        <f>#REF!</f>
        <v>#REF!</v>
      </c>
      <c r="V14" s="63" t="e">
        <f>#REF!</f>
        <v>#REF!</v>
      </c>
      <c r="W14" s="63" t="e">
        <f>#REF!</f>
        <v>#REF!</v>
      </c>
      <c r="X14" s="63" t="e">
        <f>#REF!</f>
        <v>#REF!</v>
      </c>
      <c r="Y14" s="63" t="e">
        <f>#REF!</f>
        <v>#REF!</v>
      </c>
      <c r="Z14" s="63" t="e">
        <f>#REF!</f>
        <v>#REF!</v>
      </c>
      <c r="AA14" s="63" t="e">
        <f>#REF!</f>
        <v>#REF!</v>
      </c>
      <c r="AB14" s="63" t="e">
        <f>#REF!</f>
        <v>#REF!</v>
      </c>
      <c r="AC14" s="63" t="e">
        <f>#REF!</f>
        <v>#REF!</v>
      </c>
      <c r="AD14" s="63" t="e">
        <f>#REF!</f>
        <v>#REF!</v>
      </c>
      <c r="AE14" s="63" t="e">
        <f>#REF!</f>
        <v>#REF!</v>
      </c>
      <c r="AF14" s="63" t="e">
        <f>#REF!</f>
        <v>#REF!</v>
      </c>
      <c r="AH14" s="63" t="e">
        <f>#REF!</f>
        <v>#REF!</v>
      </c>
      <c r="AI14" s="63" t="e">
        <f>#REF!</f>
        <v>#REF!</v>
      </c>
      <c r="AJ14" s="63" t="e">
        <f>#REF!</f>
        <v>#REF!</v>
      </c>
      <c r="AK14" s="63" t="e">
        <f>#REF!</f>
        <v>#REF!</v>
      </c>
      <c r="AL14" s="63" t="e">
        <f>#REF!</f>
        <v>#REF!</v>
      </c>
      <c r="AM14" s="63" t="e">
        <f>#REF!</f>
        <v>#REF!</v>
      </c>
      <c r="AN14" s="63" t="e">
        <f>#REF!</f>
        <v>#REF!</v>
      </c>
      <c r="AO14" s="63" t="e">
        <f>#REF!</f>
        <v>#REF!</v>
      </c>
      <c r="AP14" s="63" t="e">
        <f>#REF!</f>
        <v>#REF!</v>
      </c>
      <c r="AQ14" s="63" t="e">
        <f>#REF!</f>
        <v>#REF!</v>
      </c>
      <c r="AR14" s="63" t="e">
        <f>#REF!</f>
        <v>#REF!</v>
      </c>
      <c r="AS14" s="63" t="e">
        <f>#REF!</f>
        <v>#REF!</v>
      </c>
      <c r="AT14" s="63" t="e">
        <f>#REF!</f>
        <v>#REF!</v>
      </c>
      <c r="AU14" s="63" t="e">
        <f>#REF!</f>
        <v>#REF!</v>
      </c>
      <c r="AV14" s="63" t="e">
        <f>#REF!</f>
        <v>#REF!</v>
      </c>
      <c r="AX14" s="63" t="e">
        <f>#REF!</f>
        <v>#REF!</v>
      </c>
      <c r="AY14" s="63" t="e">
        <f>#REF!</f>
        <v>#REF!</v>
      </c>
      <c r="AZ14" s="63" t="e">
        <f>#REF!</f>
        <v>#REF!</v>
      </c>
      <c r="BA14" s="63" t="e">
        <f>#REF!</f>
        <v>#REF!</v>
      </c>
      <c r="BB14" s="63" t="e">
        <f>#REF!</f>
        <v>#REF!</v>
      </c>
      <c r="BC14" s="63" t="e">
        <f>#REF!</f>
        <v>#REF!</v>
      </c>
      <c r="BD14" s="63" t="e">
        <f>#REF!</f>
        <v>#REF!</v>
      </c>
      <c r="BE14" s="63" t="e">
        <f>#REF!</f>
        <v>#REF!</v>
      </c>
      <c r="BF14" s="63" t="e">
        <f>#REF!</f>
        <v>#REF!</v>
      </c>
      <c r="BG14" s="63" t="e">
        <f>#REF!</f>
        <v>#REF!</v>
      </c>
      <c r="BH14" s="63" t="e">
        <f>#REF!</f>
        <v>#REF!</v>
      </c>
      <c r="BI14" s="63" t="e">
        <f>#REF!</f>
        <v>#REF!</v>
      </c>
      <c r="BJ14" s="63" t="e">
        <f>#REF!</f>
        <v>#REF!</v>
      </c>
      <c r="BK14" s="63" t="e">
        <f>#REF!</f>
        <v>#REF!</v>
      </c>
    </row>
    <row r="15" spans="1:63">
      <c r="B15" s="92" t="e">
        <f>#REF!</f>
        <v>#REF!</v>
      </c>
      <c r="C15" s="92" t="e">
        <f>#REF!</f>
        <v>#REF!</v>
      </c>
      <c r="E15" s="92" t="e">
        <v>#REF!</v>
      </c>
      <c r="F15" s="92" t="e">
        <v>#REF!</v>
      </c>
      <c r="M15" s="63" t="e">
        <f>#REF!</f>
        <v>#REF!</v>
      </c>
      <c r="N15" s="63" t="e">
        <f>#REF!</f>
        <v>#REF!</v>
      </c>
      <c r="O15" s="63" t="e">
        <f>#REF!</f>
        <v>#REF!</v>
      </c>
      <c r="P15" s="63" t="e">
        <f>#REF!</f>
        <v>#REF!</v>
      </c>
      <c r="Q15" s="63" t="e">
        <f>#REF!</f>
        <v>#REF!</v>
      </c>
      <c r="R15" s="63" t="e">
        <f>#REF!</f>
        <v>#REF!</v>
      </c>
      <c r="S15" s="63" t="e">
        <f>#REF!</f>
        <v>#REF!</v>
      </c>
      <c r="T15" s="63" t="e">
        <f>#REF!</f>
        <v>#REF!</v>
      </c>
      <c r="U15" s="63" t="e">
        <f>#REF!</f>
        <v>#REF!</v>
      </c>
      <c r="V15" s="63" t="e">
        <f>#REF!</f>
        <v>#REF!</v>
      </c>
      <c r="W15" s="63" t="e">
        <f>#REF!</f>
        <v>#REF!</v>
      </c>
      <c r="X15" s="63" t="e">
        <f>#REF!</f>
        <v>#REF!</v>
      </c>
      <c r="Y15" s="63" t="e">
        <f>#REF!</f>
        <v>#REF!</v>
      </c>
      <c r="Z15" s="63" t="e">
        <f>#REF!</f>
        <v>#REF!</v>
      </c>
      <c r="AA15" s="63" t="e">
        <f>#REF!</f>
        <v>#REF!</v>
      </c>
      <c r="AB15" s="63" t="e">
        <f>#REF!</f>
        <v>#REF!</v>
      </c>
      <c r="AC15" s="63" t="e">
        <f>#REF!</f>
        <v>#REF!</v>
      </c>
      <c r="AD15" s="63" t="e">
        <f>#REF!</f>
        <v>#REF!</v>
      </c>
      <c r="AE15" s="63" t="e">
        <f>#REF!</f>
        <v>#REF!</v>
      </c>
      <c r="AF15" s="63" t="e">
        <f>#REF!</f>
        <v>#REF!</v>
      </c>
      <c r="AH15" s="63" t="e">
        <f>#REF!</f>
        <v>#REF!</v>
      </c>
      <c r="AI15" s="63" t="e">
        <f>#REF!</f>
        <v>#REF!</v>
      </c>
      <c r="AJ15" s="63" t="e">
        <f>#REF!</f>
        <v>#REF!</v>
      </c>
      <c r="AK15" s="63" t="e">
        <f>#REF!</f>
        <v>#REF!</v>
      </c>
      <c r="AL15" s="63" t="e">
        <f>#REF!</f>
        <v>#REF!</v>
      </c>
      <c r="AM15" s="63" t="e">
        <f>#REF!</f>
        <v>#REF!</v>
      </c>
      <c r="AN15" s="63" t="e">
        <f>#REF!</f>
        <v>#REF!</v>
      </c>
      <c r="AO15" s="63" t="e">
        <f>#REF!</f>
        <v>#REF!</v>
      </c>
      <c r="AP15" s="63" t="e">
        <f>#REF!</f>
        <v>#REF!</v>
      </c>
      <c r="AQ15" s="63" t="e">
        <f>#REF!</f>
        <v>#REF!</v>
      </c>
      <c r="AR15" s="63" t="e">
        <f>#REF!</f>
        <v>#REF!</v>
      </c>
      <c r="AS15" s="63" t="e">
        <f>#REF!</f>
        <v>#REF!</v>
      </c>
      <c r="AT15" s="63" t="e">
        <f>#REF!</f>
        <v>#REF!</v>
      </c>
      <c r="AU15" s="63" t="e">
        <f>#REF!</f>
        <v>#REF!</v>
      </c>
      <c r="AV15" s="63" t="e">
        <f>#REF!</f>
        <v>#REF!</v>
      </c>
      <c r="AX15" s="63" t="e">
        <f>#REF!</f>
        <v>#REF!</v>
      </c>
      <c r="AY15" s="63" t="e">
        <f>#REF!</f>
        <v>#REF!</v>
      </c>
      <c r="AZ15" s="63" t="e">
        <f>#REF!</f>
        <v>#REF!</v>
      </c>
      <c r="BA15" s="63" t="e">
        <f>#REF!</f>
        <v>#REF!</v>
      </c>
      <c r="BB15" s="63" t="e">
        <f>#REF!</f>
        <v>#REF!</v>
      </c>
      <c r="BC15" s="63" t="e">
        <f>#REF!</f>
        <v>#REF!</v>
      </c>
      <c r="BD15" s="63" t="e">
        <f>#REF!</f>
        <v>#REF!</v>
      </c>
      <c r="BE15" s="63" t="e">
        <f>#REF!</f>
        <v>#REF!</v>
      </c>
      <c r="BF15" s="63" t="e">
        <f>#REF!</f>
        <v>#REF!</v>
      </c>
      <c r="BG15" s="63" t="e">
        <f>#REF!</f>
        <v>#REF!</v>
      </c>
      <c r="BH15" s="63" t="e">
        <f>#REF!</f>
        <v>#REF!</v>
      </c>
      <c r="BI15" s="63" t="e">
        <f>#REF!</f>
        <v>#REF!</v>
      </c>
      <c r="BJ15" s="63" t="e">
        <f>#REF!</f>
        <v>#REF!</v>
      </c>
      <c r="BK15" s="63" t="e">
        <f>#REF!</f>
        <v>#REF!</v>
      </c>
    </row>
    <row r="16" spans="1:63">
      <c r="B16" s="92" t="e">
        <v>#REF!</v>
      </c>
      <c r="C16" s="92" t="e">
        <v>#REF!</v>
      </c>
      <c r="E16" s="92" t="e">
        <v>#REF!</v>
      </c>
      <c r="F16" s="92" t="e">
        <v>#REF!</v>
      </c>
      <c r="M16" s="63" t="e">
        <v>#REF!</v>
      </c>
      <c r="N16" s="63" t="e">
        <v>#REF!</v>
      </c>
      <c r="O16" s="63" t="e">
        <v>#REF!</v>
      </c>
      <c r="P16" s="63" t="e">
        <v>#REF!</v>
      </c>
      <c r="Q16" s="63" t="e">
        <v>#REF!</v>
      </c>
      <c r="R16" s="63" t="e">
        <v>#REF!</v>
      </c>
      <c r="S16" s="63" t="e">
        <v>#REF!</v>
      </c>
      <c r="T16" s="63" t="e">
        <v>#REF!</v>
      </c>
      <c r="U16" s="63" t="e">
        <v>#REF!</v>
      </c>
      <c r="V16" s="63" t="e">
        <v>#REF!</v>
      </c>
      <c r="W16" s="63" t="e">
        <v>#REF!</v>
      </c>
      <c r="X16" s="63" t="e">
        <v>#REF!</v>
      </c>
      <c r="Y16" s="63" t="e">
        <v>#REF!</v>
      </c>
      <c r="Z16" s="63" t="e">
        <v>#REF!</v>
      </c>
      <c r="AA16" s="63" t="e">
        <v>#REF!</v>
      </c>
      <c r="AB16" s="63" t="e">
        <v>#REF!</v>
      </c>
      <c r="AC16" s="63" t="e">
        <v>#REF!</v>
      </c>
      <c r="AD16" s="63" t="e">
        <v>#REF!</v>
      </c>
      <c r="AE16" s="63" t="e">
        <v>#REF!</v>
      </c>
      <c r="AF16" s="63" t="e">
        <v>#REF!</v>
      </c>
      <c r="AH16" s="63" t="e">
        <v>#REF!</v>
      </c>
      <c r="AI16" s="63" t="e">
        <v>#REF!</v>
      </c>
      <c r="AJ16" s="63" t="e">
        <v>#REF!</v>
      </c>
      <c r="AK16" s="63" t="e">
        <v>#REF!</v>
      </c>
      <c r="AL16" s="63" t="e">
        <v>#REF!</v>
      </c>
      <c r="AM16" s="63" t="e">
        <v>#REF!</v>
      </c>
      <c r="AN16" s="63" t="e">
        <v>#REF!</v>
      </c>
      <c r="AO16" s="63" t="e">
        <v>#REF!</v>
      </c>
      <c r="AP16" s="63" t="e">
        <v>#REF!</v>
      </c>
      <c r="AQ16" s="63" t="e">
        <v>#REF!</v>
      </c>
      <c r="AR16" s="63" t="e">
        <v>#REF!</v>
      </c>
      <c r="AS16" s="63" t="e">
        <v>#REF!</v>
      </c>
      <c r="AT16" s="63" t="e">
        <v>#REF!</v>
      </c>
      <c r="AU16" s="63" t="e">
        <v>#REF!</v>
      </c>
      <c r="AV16" s="63" t="e">
        <v>#REF!</v>
      </c>
      <c r="AX16" s="63" t="e">
        <v>#REF!</v>
      </c>
      <c r="AY16" s="63" t="e">
        <v>#REF!</v>
      </c>
      <c r="AZ16" s="63" t="e">
        <v>#REF!</v>
      </c>
      <c r="BA16" s="63" t="e">
        <v>#REF!</v>
      </c>
      <c r="BB16" s="63" t="e">
        <v>#REF!</v>
      </c>
      <c r="BC16" s="63" t="e">
        <v>#REF!</v>
      </c>
      <c r="BD16" s="63" t="e">
        <v>#REF!</v>
      </c>
      <c r="BE16" s="63" t="e">
        <v>#REF!</v>
      </c>
      <c r="BF16" s="63" t="e">
        <v>#REF!</v>
      </c>
      <c r="BG16" s="63" t="e">
        <v>#REF!</v>
      </c>
      <c r="BH16" s="63" t="e">
        <v>#REF!</v>
      </c>
      <c r="BI16" s="63" t="e">
        <v>#REF!</v>
      </c>
      <c r="BJ16" s="63" t="e">
        <v>#REF!</v>
      </c>
      <c r="BK16" s="63" t="e">
        <v>#REF!</v>
      </c>
    </row>
    <row r="17" spans="2:63">
      <c r="B17" s="92" t="e">
        <v>#REF!</v>
      </c>
      <c r="C17" s="92" t="e">
        <v>#REF!</v>
      </c>
      <c r="E17" s="92" t="e">
        <v>#REF!</v>
      </c>
      <c r="F17" s="92" t="e">
        <v>#REF!</v>
      </c>
      <c r="M17" s="63" t="e">
        <v>#REF!</v>
      </c>
      <c r="N17" s="63" t="e">
        <v>#REF!</v>
      </c>
      <c r="O17" s="63" t="e">
        <v>#REF!</v>
      </c>
      <c r="P17" s="63" t="e">
        <v>#REF!</v>
      </c>
      <c r="Q17" s="63" t="e">
        <v>#REF!</v>
      </c>
      <c r="R17" s="63" t="e">
        <v>#REF!</v>
      </c>
      <c r="S17" s="63" t="e">
        <v>#REF!</v>
      </c>
      <c r="T17" s="63" t="e">
        <v>#REF!</v>
      </c>
      <c r="U17" s="63" t="e">
        <v>#REF!</v>
      </c>
      <c r="V17" s="63" t="e">
        <v>#REF!</v>
      </c>
      <c r="W17" s="63" t="e">
        <v>#REF!</v>
      </c>
      <c r="X17" s="63" t="e">
        <v>#REF!</v>
      </c>
      <c r="Y17" s="63" t="e">
        <v>#REF!</v>
      </c>
      <c r="Z17" s="63" t="e">
        <v>#REF!</v>
      </c>
      <c r="AA17" s="63" t="e">
        <v>#REF!</v>
      </c>
      <c r="AB17" s="63" t="e">
        <v>#REF!</v>
      </c>
      <c r="AC17" s="63" t="e">
        <v>#REF!</v>
      </c>
      <c r="AD17" s="63" t="e">
        <v>#REF!</v>
      </c>
      <c r="AE17" s="63" t="e">
        <v>#REF!</v>
      </c>
      <c r="AF17" s="63" t="e">
        <v>#REF!</v>
      </c>
      <c r="AH17" s="63" t="e">
        <v>#REF!</v>
      </c>
      <c r="AI17" s="63" t="e">
        <v>#REF!</v>
      </c>
      <c r="AJ17" s="63" t="e">
        <v>#REF!</v>
      </c>
      <c r="AK17" s="63" t="e">
        <v>#REF!</v>
      </c>
      <c r="AL17" s="63" t="e">
        <v>#REF!</v>
      </c>
      <c r="AM17" s="63" t="e">
        <v>#REF!</v>
      </c>
      <c r="AN17" s="63" t="e">
        <v>#REF!</v>
      </c>
      <c r="AO17" s="63" t="e">
        <v>#REF!</v>
      </c>
      <c r="AP17" s="63" t="e">
        <v>#REF!</v>
      </c>
      <c r="AQ17" s="63" t="e">
        <v>#REF!</v>
      </c>
      <c r="AR17" s="63" t="e">
        <v>#REF!</v>
      </c>
      <c r="AS17" s="63" t="e">
        <v>#REF!</v>
      </c>
      <c r="AT17" s="63" t="e">
        <v>#REF!</v>
      </c>
      <c r="AU17" s="63" t="e">
        <v>#REF!</v>
      </c>
      <c r="AV17" s="63" t="e">
        <v>#REF!</v>
      </c>
      <c r="AX17" s="63" t="e">
        <v>#REF!</v>
      </c>
      <c r="AY17" s="63" t="e">
        <v>#REF!</v>
      </c>
      <c r="AZ17" s="63" t="e">
        <v>#REF!</v>
      </c>
      <c r="BA17" s="63" t="e">
        <v>#REF!</v>
      </c>
      <c r="BB17" s="63" t="e">
        <v>#REF!</v>
      </c>
      <c r="BC17" s="63" t="e">
        <v>#REF!</v>
      </c>
      <c r="BD17" s="63" t="e">
        <v>#REF!</v>
      </c>
      <c r="BE17" s="63" t="e">
        <v>#REF!</v>
      </c>
      <c r="BF17" s="63" t="e">
        <v>#REF!</v>
      </c>
      <c r="BG17" s="63" t="e">
        <v>#REF!</v>
      </c>
      <c r="BH17" s="63" t="e">
        <v>#REF!</v>
      </c>
      <c r="BI17" s="63" t="e">
        <v>#REF!</v>
      </c>
      <c r="BJ17" s="63" t="e">
        <v>#REF!</v>
      </c>
      <c r="BK17" s="63" t="e">
        <v>#REF!</v>
      </c>
    </row>
    <row r="18" spans="2:63">
      <c r="B18" s="92" t="e">
        <v>#REF!</v>
      </c>
      <c r="C18" s="92" t="e">
        <v>#REF!</v>
      </c>
      <c r="E18" s="92" t="e">
        <v>#REF!</v>
      </c>
      <c r="F18" s="92" t="e">
        <v>#REF!</v>
      </c>
      <c r="M18" s="63" t="e">
        <v>#REF!</v>
      </c>
      <c r="N18" s="63" t="e">
        <v>#REF!</v>
      </c>
      <c r="O18" s="63" t="e">
        <v>#REF!</v>
      </c>
      <c r="P18" s="63" t="e">
        <v>#REF!</v>
      </c>
      <c r="Q18" s="63" t="e">
        <v>#REF!</v>
      </c>
      <c r="R18" s="63" t="e">
        <v>#REF!</v>
      </c>
      <c r="S18" s="63" t="e">
        <v>#REF!</v>
      </c>
      <c r="T18" s="63" t="e">
        <v>#REF!</v>
      </c>
      <c r="U18" s="63" t="e">
        <v>#REF!</v>
      </c>
      <c r="V18" s="63" t="e">
        <v>#REF!</v>
      </c>
      <c r="W18" s="63" t="e">
        <v>#REF!</v>
      </c>
      <c r="X18" s="63" t="e">
        <v>#REF!</v>
      </c>
      <c r="Y18" s="63" t="e">
        <v>#REF!</v>
      </c>
      <c r="Z18" s="63" t="e">
        <v>#REF!</v>
      </c>
      <c r="AA18" s="63" t="e">
        <v>#REF!</v>
      </c>
      <c r="AB18" s="63" t="e">
        <v>#REF!</v>
      </c>
      <c r="AC18" s="63" t="e">
        <v>#REF!</v>
      </c>
      <c r="AD18" s="63" t="e">
        <v>#REF!</v>
      </c>
      <c r="AE18" s="63" t="e">
        <v>#REF!</v>
      </c>
      <c r="AF18" s="63" t="e">
        <v>#REF!</v>
      </c>
      <c r="AH18" s="63" t="e">
        <v>#REF!</v>
      </c>
      <c r="AI18" s="63" t="e">
        <v>#REF!</v>
      </c>
      <c r="AJ18" s="63" t="e">
        <v>#REF!</v>
      </c>
      <c r="AK18" s="63" t="e">
        <v>#REF!</v>
      </c>
      <c r="AL18" s="63" t="e">
        <v>#REF!</v>
      </c>
      <c r="AM18" s="63" t="e">
        <v>#REF!</v>
      </c>
      <c r="AN18" s="63" t="e">
        <v>#REF!</v>
      </c>
      <c r="AO18" s="63" t="e">
        <v>#REF!</v>
      </c>
      <c r="AP18" s="63" t="e">
        <v>#REF!</v>
      </c>
      <c r="AQ18" s="63" t="e">
        <v>#REF!</v>
      </c>
      <c r="AR18" s="63" t="e">
        <v>#REF!</v>
      </c>
      <c r="AS18" s="63" t="e">
        <v>#REF!</v>
      </c>
      <c r="AT18" s="63" t="e">
        <v>#REF!</v>
      </c>
      <c r="AU18" s="63" t="e">
        <v>#REF!</v>
      </c>
      <c r="AV18" s="63" t="e">
        <v>#REF!</v>
      </c>
      <c r="AX18" s="63" t="e">
        <v>#REF!</v>
      </c>
      <c r="AY18" s="63" t="e">
        <v>#REF!</v>
      </c>
      <c r="AZ18" s="63" t="e">
        <v>#REF!</v>
      </c>
      <c r="BA18" s="63" t="e">
        <v>#REF!</v>
      </c>
      <c r="BB18" s="63" t="e">
        <v>#REF!</v>
      </c>
      <c r="BC18" s="63" t="e">
        <v>#REF!</v>
      </c>
      <c r="BD18" s="63" t="e">
        <v>#REF!</v>
      </c>
      <c r="BE18" s="63" t="e">
        <v>#REF!</v>
      </c>
      <c r="BF18" s="63" t="e">
        <v>#REF!</v>
      </c>
      <c r="BG18" s="63" t="e">
        <v>#REF!</v>
      </c>
      <c r="BH18" s="63" t="e">
        <v>#REF!</v>
      </c>
      <c r="BI18" s="63" t="e">
        <v>#REF!</v>
      </c>
      <c r="BJ18" s="63" t="e">
        <v>#REF!</v>
      </c>
      <c r="BK18" s="63" t="e">
        <v>#REF!</v>
      </c>
    </row>
    <row r="19" spans="2:63">
      <c r="B19" s="92" t="e">
        <v>#REF!</v>
      </c>
      <c r="C19" s="92" t="e">
        <v>#REF!</v>
      </c>
      <c r="E19" s="92" t="e">
        <v>#REF!</v>
      </c>
      <c r="F19" s="92" t="e">
        <v>#REF!</v>
      </c>
      <c r="M19" s="63" t="e">
        <v>#REF!</v>
      </c>
      <c r="N19" s="63" t="e">
        <v>#REF!</v>
      </c>
      <c r="O19" s="63" t="e">
        <v>#REF!</v>
      </c>
      <c r="P19" s="63" t="e">
        <v>#REF!</v>
      </c>
      <c r="Q19" s="63" t="e">
        <v>#REF!</v>
      </c>
      <c r="R19" s="63" t="e">
        <v>#REF!</v>
      </c>
      <c r="S19" s="63" t="e">
        <v>#REF!</v>
      </c>
      <c r="T19" s="63" t="e">
        <v>#REF!</v>
      </c>
      <c r="U19" s="63" t="e">
        <v>#REF!</v>
      </c>
      <c r="V19" s="63" t="e">
        <v>#REF!</v>
      </c>
      <c r="W19" s="63" t="e">
        <v>#REF!</v>
      </c>
      <c r="X19" s="63" t="e">
        <v>#REF!</v>
      </c>
      <c r="Y19" s="63" t="e">
        <v>#REF!</v>
      </c>
      <c r="Z19" s="63" t="e">
        <v>#REF!</v>
      </c>
      <c r="AA19" s="63" t="e">
        <v>#REF!</v>
      </c>
      <c r="AB19" s="63" t="e">
        <v>#REF!</v>
      </c>
      <c r="AC19" s="63" t="e">
        <v>#REF!</v>
      </c>
      <c r="AD19" s="63" t="e">
        <v>#REF!</v>
      </c>
      <c r="AE19" s="63" t="e">
        <v>#REF!</v>
      </c>
      <c r="AF19" s="63" t="e">
        <v>#REF!</v>
      </c>
      <c r="AH19" s="63" t="e">
        <v>#REF!</v>
      </c>
      <c r="AI19" s="63" t="e">
        <v>#REF!</v>
      </c>
      <c r="AJ19" s="63" t="e">
        <v>#REF!</v>
      </c>
      <c r="AK19" s="63" t="e">
        <v>#REF!</v>
      </c>
      <c r="AL19" s="63" t="e">
        <v>#REF!</v>
      </c>
      <c r="AM19" s="63" t="e">
        <v>#REF!</v>
      </c>
      <c r="AN19" s="63" t="e">
        <v>#REF!</v>
      </c>
      <c r="AO19" s="63" t="e">
        <v>#REF!</v>
      </c>
      <c r="AP19" s="63" t="e">
        <v>#REF!</v>
      </c>
      <c r="AQ19" s="63" t="e">
        <v>#REF!</v>
      </c>
      <c r="AR19" s="63" t="e">
        <v>#REF!</v>
      </c>
      <c r="AS19" s="63" t="e">
        <v>#REF!</v>
      </c>
      <c r="AT19" s="63" t="e">
        <v>#REF!</v>
      </c>
      <c r="AU19" s="63" t="e">
        <v>#REF!</v>
      </c>
      <c r="AV19" s="63" t="e">
        <v>#REF!</v>
      </c>
      <c r="AX19" s="63" t="e">
        <v>#REF!</v>
      </c>
      <c r="AY19" s="63" t="e">
        <v>#REF!</v>
      </c>
      <c r="AZ19" s="63" t="e">
        <v>#REF!</v>
      </c>
      <c r="BA19" s="63" t="e">
        <v>#REF!</v>
      </c>
      <c r="BB19" s="63" t="e">
        <v>#REF!</v>
      </c>
      <c r="BC19" s="63" t="e">
        <v>#REF!</v>
      </c>
      <c r="BD19" s="63" t="e">
        <v>#REF!</v>
      </c>
      <c r="BE19" s="63" t="e">
        <v>#REF!</v>
      </c>
      <c r="BF19" s="63" t="e">
        <v>#REF!</v>
      </c>
      <c r="BG19" s="63" t="e">
        <v>#REF!</v>
      </c>
      <c r="BH19" s="63" t="e">
        <v>#REF!</v>
      </c>
      <c r="BI19" s="63" t="e">
        <v>#REF!</v>
      </c>
      <c r="BJ19" s="63" t="e">
        <v>#REF!</v>
      </c>
      <c r="BK19" s="63" t="e">
        <v>#REF!</v>
      </c>
    </row>
    <row r="20" spans="2:63">
      <c r="B20" s="92" t="e">
        <v>#REF!</v>
      </c>
      <c r="C20" s="92" t="e">
        <v>#REF!</v>
      </c>
      <c r="E20" s="92" t="e">
        <v>#REF!</v>
      </c>
      <c r="F20" s="92" t="e">
        <v>#REF!</v>
      </c>
      <c r="M20" s="63" t="e">
        <v>#REF!</v>
      </c>
      <c r="N20" s="63" t="e">
        <v>#REF!</v>
      </c>
      <c r="O20" s="63" t="e">
        <v>#REF!</v>
      </c>
      <c r="P20" s="63" t="e">
        <v>#REF!</v>
      </c>
      <c r="Q20" s="63" t="e">
        <v>#REF!</v>
      </c>
      <c r="R20" s="63" t="e">
        <v>#REF!</v>
      </c>
      <c r="S20" s="63" t="e">
        <v>#REF!</v>
      </c>
      <c r="T20" s="63" t="e">
        <v>#REF!</v>
      </c>
      <c r="U20" s="63" t="e">
        <v>#REF!</v>
      </c>
      <c r="V20" s="63" t="e">
        <v>#REF!</v>
      </c>
      <c r="W20" s="63" t="e">
        <v>#REF!</v>
      </c>
      <c r="X20" s="63" t="e">
        <v>#REF!</v>
      </c>
      <c r="Y20" s="63" t="e">
        <v>#REF!</v>
      </c>
      <c r="Z20" s="63" t="e">
        <v>#REF!</v>
      </c>
      <c r="AA20" s="63" t="e">
        <v>#REF!</v>
      </c>
      <c r="AB20" s="63" t="e">
        <v>#REF!</v>
      </c>
      <c r="AC20" s="63" t="e">
        <v>#REF!</v>
      </c>
      <c r="AD20" s="63" t="e">
        <v>#REF!</v>
      </c>
      <c r="AE20" s="63" t="e">
        <v>#REF!</v>
      </c>
      <c r="AF20" s="63" t="e">
        <v>#REF!</v>
      </c>
      <c r="AH20" s="63" t="e">
        <v>#REF!</v>
      </c>
      <c r="AI20" s="63" t="e">
        <v>#REF!</v>
      </c>
      <c r="AJ20" s="63" t="e">
        <v>#REF!</v>
      </c>
      <c r="AK20" s="63" t="e">
        <v>#REF!</v>
      </c>
      <c r="AL20" s="63" t="e">
        <v>#REF!</v>
      </c>
      <c r="AM20" s="63" t="e">
        <v>#REF!</v>
      </c>
      <c r="AN20" s="63" t="e">
        <v>#REF!</v>
      </c>
      <c r="AO20" s="63" t="e">
        <v>#REF!</v>
      </c>
      <c r="AP20" s="63" t="e">
        <v>#REF!</v>
      </c>
      <c r="AQ20" s="63" t="e">
        <v>#REF!</v>
      </c>
      <c r="AR20" s="63" t="e">
        <v>#REF!</v>
      </c>
      <c r="AS20" s="63" t="e">
        <v>#REF!</v>
      </c>
      <c r="AT20" s="63" t="e">
        <v>#REF!</v>
      </c>
      <c r="AU20" s="63" t="e">
        <v>#REF!</v>
      </c>
      <c r="AV20" s="63" t="e">
        <v>#REF!</v>
      </c>
      <c r="AX20" s="63" t="e">
        <v>#REF!</v>
      </c>
      <c r="AY20" s="63" t="e">
        <v>#REF!</v>
      </c>
      <c r="AZ20" s="63" t="e">
        <v>#REF!</v>
      </c>
      <c r="BA20" s="63" t="e">
        <v>#REF!</v>
      </c>
      <c r="BB20" s="63" t="e">
        <v>#REF!</v>
      </c>
      <c r="BC20" s="63" t="e">
        <v>#REF!</v>
      </c>
      <c r="BD20" s="63" t="e">
        <v>#REF!</v>
      </c>
      <c r="BE20" s="63" t="e">
        <v>#REF!</v>
      </c>
      <c r="BF20" s="63" t="e">
        <v>#REF!</v>
      </c>
      <c r="BG20" s="63" t="e">
        <v>#REF!</v>
      </c>
      <c r="BH20" s="63" t="e">
        <v>#REF!</v>
      </c>
      <c r="BI20" s="63" t="e">
        <v>#REF!</v>
      </c>
      <c r="BJ20" s="63" t="e">
        <v>#REF!</v>
      </c>
      <c r="BK20" s="63" t="e">
        <v>#REF!</v>
      </c>
    </row>
    <row r="21" spans="2:63">
      <c r="B21" s="92" t="e">
        <v>#REF!</v>
      </c>
      <c r="C21" s="92" t="e">
        <v>#REF!</v>
      </c>
      <c r="E21" s="92" t="e">
        <v>#REF!</v>
      </c>
      <c r="F21" s="92" t="e">
        <v>#REF!</v>
      </c>
      <c r="M21" s="63" t="e">
        <v>#REF!</v>
      </c>
      <c r="N21" s="63" t="e">
        <v>#REF!</v>
      </c>
      <c r="O21" s="63" t="e">
        <v>#REF!</v>
      </c>
      <c r="P21" s="63" t="e">
        <v>#REF!</v>
      </c>
      <c r="Q21" s="63" t="e">
        <v>#REF!</v>
      </c>
      <c r="R21" s="63" t="e">
        <v>#REF!</v>
      </c>
      <c r="S21" s="63" t="e">
        <v>#REF!</v>
      </c>
      <c r="T21" s="63" t="e">
        <v>#REF!</v>
      </c>
      <c r="U21" s="63" t="e">
        <v>#REF!</v>
      </c>
      <c r="V21" s="63" t="e">
        <v>#REF!</v>
      </c>
      <c r="W21" s="63" t="e">
        <v>#REF!</v>
      </c>
      <c r="X21" s="63" t="e">
        <v>#REF!</v>
      </c>
      <c r="Y21" s="63" t="e">
        <v>#REF!</v>
      </c>
      <c r="Z21" s="63" t="e">
        <v>#REF!</v>
      </c>
      <c r="AA21" s="63" t="e">
        <v>#REF!</v>
      </c>
      <c r="AB21" s="63" t="e">
        <v>#REF!</v>
      </c>
      <c r="AC21" s="63" t="e">
        <v>#REF!</v>
      </c>
      <c r="AD21" s="63" t="e">
        <v>#REF!</v>
      </c>
      <c r="AE21" s="63" t="e">
        <v>#REF!</v>
      </c>
      <c r="AF21" s="63" t="e">
        <v>#REF!</v>
      </c>
      <c r="AH21" s="63" t="e">
        <v>#REF!</v>
      </c>
      <c r="AI21" s="63" t="e">
        <v>#REF!</v>
      </c>
      <c r="AJ21" s="63" t="e">
        <v>#REF!</v>
      </c>
      <c r="AK21" s="63" t="e">
        <v>#REF!</v>
      </c>
      <c r="AL21" s="63" t="e">
        <v>#REF!</v>
      </c>
      <c r="AM21" s="63" t="e">
        <v>#REF!</v>
      </c>
      <c r="AN21" s="63" t="e">
        <v>#REF!</v>
      </c>
      <c r="AO21" s="63" t="e">
        <v>#REF!</v>
      </c>
      <c r="AP21" s="63" t="e">
        <v>#REF!</v>
      </c>
      <c r="AQ21" s="63" t="e">
        <v>#REF!</v>
      </c>
      <c r="AR21" s="63" t="e">
        <v>#REF!</v>
      </c>
      <c r="AS21" s="63" t="e">
        <v>#REF!</v>
      </c>
      <c r="AT21" s="63" t="e">
        <v>#REF!</v>
      </c>
      <c r="AU21" s="63" t="e">
        <v>#REF!</v>
      </c>
      <c r="AV21" s="63" t="e">
        <v>#REF!</v>
      </c>
      <c r="AX21" s="63" t="e">
        <v>#REF!</v>
      </c>
      <c r="AY21" s="63" t="e">
        <v>#REF!</v>
      </c>
      <c r="AZ21" s="63" t="e">
        <v>#REF!</v>
      </c>
      <c r="BA21" s="63" t="e">
        <v>#REF!</v>
      </c>
      <c r="BB21" s="63" t="e">
        <v>#REF!</v>
      </c>
      <c r="BC21" s="63" t="e">
        <v>#REF!</v>
      </c>
      <c r="BD21" s="63" t="e">
        <v>#REF!</v>
      </c>
      <c r="BE21" s="63" t="e">
        <v>#REF!</v>
      </c>
      <c r="BF21" s="63" t="e">
        <v>#REF!</v>
      </c>
      <c r="BG21" s="63" t="e">
        <v>#REF!</v>
      </c>
      <c r="BH21" s="63" t="e">
        <v>#REF!</v>
      </c>
      <c r="BI21" s="63" t="e">
        <v>#REF!</v>
      </c>
      <c r="BJ21" s="63" t="e">
        <v>#REF!</v>
      </c>
      <c r="BK21" s="63" t="e">
        <v>#REF!</v>
      </c>
    </row>
    <row r="22" spans="2:63">
      <c r="B22" s="92" t="e">
        <v>#REF!</v>
      </c>
      <c r="C22" s="92" t="e">
        <v>#REF!</v>
      </c>
      <c r="E22" s="92" t="e">
        <v>#REF!</v>
      </c>
      <c r="F22" s="92" t="e">
        <v>#REF!</v>
      </c>
      <c r="M22" s="63" t="e">
        <v>#REF!</v>
      </c>
      <c r="N22" s="63" t="e">
        <v>#REF!</v>
      </c>
      <c r="O22" s="63" t="e">
        <v>#REF!</v>
      </c>
      <c r="P22" s="63" t="e">
        <v>#REF!</v>
      </c>
      <c r="Q22" s="63" t="e">
        <v>#REF!</v>
      </c>
      <c r="R22" s="63" t="e">
        <v>#REF!</v>
      </c>
      <c r="S22" s="63" t="e">
        <v>#REF!</v>
      </c>
      <c r="T22" s="63" t="e">
        <v>#REF!</v>
      </c>
      <c r="U22" s="63" t="e">
        <v>#REF!</v>
      </c>
      <c r="V22" s="63" t="e">
        <v>#REF!</v>
      </c>
      <c r="W22" s="63" t="e">
        <v>#REF!</v>
      </c>
      <c r="X22" s="63" t="e">
        <v>#REF!</v>
      </c>
      <c r="Y22" s="63" t="e">
        <v>#REF!</v>
      </c>
      <c r="Z22" s="63" t="e">
        <v>#REF!</v>
      </c>
      <c r="AA22" s="63" t="e">
        <v>#REF!</v>
      </c>
      <c r="AB22" s="63" t="e">
        <v>#REF!</v>
      </c>
      <c r="AC22" s="63" t="e">
        <v>#REF!</v>
      </c>
      <c r="AD22" s="63" t="e">
        <v>#REF!</v>
      </c>
      <c r="AE22" s="63" t="e">
        <v>#REF!</v>
      </c>
      <c r="AF22" s="63" t="e">
        <v>#REF!</v>
      </c>
      <c r="AH22" s="63" t="e">
        <v>#REF!</v>
      </c>
      <c r="AI22" s="63" t="e">
        <v>#REF!</v>
      </c>
      <c r="AJ22" s="63" t="e">
        <v>#REF!</v>
      </c>
      <c r="AK22" s="63" t="e">
        <v>#REF!</v>
      </c>
      <c r="AL22" s="63" t="e">
        <v>#REF!</v>
      </c>
      <c r="AM22" s="63" t="e">
        <v>#REF!</v>
      </c>
      <c r="AN22" s="63" t="e">
        <v>#REF!</v>
      </c>
      <c r="AO22" s="63" t="e">
        <v>#REF!</v>
      </c>
      <c r="AP22" s="63" t="e">
        <v>#REF!</v>
      </c>
      <c r="AQ22" s="63" t="e">
        <v>#REF!</v>
      </c>
      <c r="AR22" s="63" t="e">
        <v>#REF!</v>
      </c>
      <c r="AS22" s="63" t="e">
        <v>#REF!</v>
      </c>
      <c r="AT22" s="63" t="e">
        <v>#REF!</v>
      </c>
      <c r="AU22" s="63" t="e">
        <v>#REF!</v>
      </c>
      <c r="AV22" s="63" t="e">
        <v>#REF!</v>
      </c>
      <c r="AX22" s="63" t="e">
        <v>#REF!</v>
      </c>
      <c r="AY22" s="63" t="e">
        <v>#REF!</v>
      </c>
      <c r="AZ22" s="63" t="e">
        <v>#REF!</v>
      </c>
      <c r="BA22" s="63" t="e">
        <v>#REF!</v>
      </c>
      <c r="BB22" s="63" t="e">
        <v>#REF!</v>
      </c>
      <c r="BC22" s="63" t="e">
        <v>#REF!</v>
      </c>
      <c r="BD22" s="63" t="e">
        <v>#REF!</v>
      </c>
      <c r="BE22" s="63" t="e">
        <v>#REF!</v>
      </c>
      <c r="BF22" s="63" t="e">
        <v>#REF!</v>
      </c>
      <c r="BG22" s="63" t="e">
        <v>#REF!</v>
      </c>
      <c r="BH22" s="63" t="e">
        <v>#REF!</v>
      </c>
      <c r="BI22" s="63" t="e">
        <v>#REF!</v>
      </c>
      <c r="BJ22" s="63" t="e">
        <v>#REF!</v>
      </c>
      <c r="BK22" s="63" t="e">
        <v>#REF!</v>
      </c>
    </row>
    <row r="23" spans="2:63">
      <c r="B23" s="92" t="e">
        <v>#REF!</v>
      </c>
      <c r="C23" s="92" t="e">
        <v>#REF!</v>
      </c>
      <c r="E23" s="92" t="e">
        <v>#REF!</v>
      </c>
      <c r="F23" s="92" t="e">
        <v>#REF!</v>
      </c>
      <c r="M23" s="63" t="e">
        <v>#REF!</v>
      </c>
      <c r="N23" s="63" t="e">
        <v>#REF!</v>
      </c>
      <c r="O23" s="63" t="e">
        <v>#REF!</v>
      </c>
      <c r="P23" s="63" t="e">
        <v>#REF!</v>
      </c>
      <c r="Q23" s="63" t="e">
        <v>#REF!</v>
      </c>
      <c r="R23" s="63" t="e">
        <v>#REF!</v>
      </c>
      <c r="S23" s="63" t="e">
        <v>#REF!</v>
      </c>
      <c r="T23" s="63" t="e">
        <v>#REF!</v>
      </c>
      <c r="U23" s="63" t="e">
        <v>#REF!</v>
      </c>
      <c r="V23" s="63" t="e">
        <v>#REF!</v>
      </c>
      <c r="W23" s="63" t="e">
        <v>#REF!</v>
      </c>
      <c r="X23" s="63" t="e">
        <v>#REF!</v>
      </c>
      <c r="Y23" s="63" t="e">
        <v>#REF!</v>
      </c>
      <c r="Z23" s="63" t="e">
        <v>#REF!</v>
      </c>
      <c r="AA23" s="63" t="e">
        <v>#REF!</v>
      </c>
      <c r="AB23" s="63" t="e">
        <v>#REF!</v>
      </c>
      <c r="AC23" s="63" t="e">
        <v>#REF!</v>
      </c>
      <c r="AD23" s="63" t="e">
        <v>#REF!</v>
      </c>
      <c r="AE23" s="63" t="e">
        <v>#REF!</v>
      </c>
      <c r="AF23" s="63" t="e">
        <v>#REF!</v>
      </c>
      <c r="AH23" s="63" t="e">
        <v>#REF!</v>
      </c>
      <c r="AI23" s="63" t="e">
        <v>#REF!</v>
      </c>
      <c r="AJ23" s="63" t="e">
        <v>#REF!</v>
      </c>
      <c r="AK23" s="63" t="e">
        <v>#REF!</v>
      </c>
      <c r="AL23" s="63" t="e">
        <v>#REF!</v>
      </c>
      <c r="AM23" s="63" t="e">
        <v>#REF!</v>
      </c>
      <c r="AN23" s="63" t="e">
        <v>#REF!</v>
      </c>
      <c r="AO23" s="63" t="e">
        <v>#REF!</v>
      </c>
      <c r="AP23" s="63" t="e">
        <v>#REF!</v>
      </c>
      <c r="AQ23" s="63" t="e">
        <v>#REF!</v>
      </c>
      <c r="AR23" s="63" t="e">
        <v>#REF!</v>
      </c>
      <c r="AS23" s="63" t="e">
        <v>#REF!</v>
      </c>
      <c r="AT23" s="63" t="e">
        <v>#REF!</v>
      </c>
      <c r="AU23" s="63" t="e">
        <v>#REF!</v>
      </c>
      <c r="AV23" s="63" t="e">
        <v>#REF!</v>
      </c>
      <c r="AX23" s="63" t="e">
        <v>#REF!</v>
      </c>
      <c r="AY23" s="63" t="e">
        <v>#REF!</v>
      </c>
      <c r="AZ23" s="63" t="e">
        <v>#REF!</v>
      </c>
      <c r="BA23" s="63" t="e">
        <v>#REF!</v>
      </c>
      <c r="BB23" s="63" t="e">
        <v>#REF!</v>
      </c>
      <c r="BC23" s="63" t="e">
        <v>#REF!</v>
      </c>
      <c r="BD23" s="63" t="e">
        <v>#REF!</v>
      </c>
      <c r="BE23" s="63" t="e">
        <v>#REF!</v>
      </c>
      <c r="BF23" s="63" t="e">
        <v>#REF!</v>
      </c>
      <c r="BG23" s="63" t="e">
        <v>#REF!</v>
      </c>
      <c r="BH23" s="63" t="e">
        <v>#REF!</v>
      </c>
      <c r="BI23" s="63" t="e">
        <v>#REF!</v>
      </c>
      <c r="BJ23" s="63" t="e">
        <v>#REF!</v>
      </c>
      <c r="BK23" s="63" t="e">
        <v>#REF!</v>
      </c>
    </row>
    <row r="24" spans="2:63">
      <c r="B24" s="92" t="e">
        <v>#REF!</v>
      </c>
      <c r="C24" s="92" t="e">
        <v>#REF!</v>
      </c>
      <c r="E24" s="92" t="e">
        <v>#REF!</v>
      </c>
      <c r="F24" s="92" t="e">
        <v>#REF!</v>
      </c>
      <c r="M24" s="63" t="e">
        <v>#REF!</v>
      </c>
      <c r="N24" s="63" t="e">
        <v>#REF!</v>
      </c>
      <c r="O24" s="63" t="e">
        <v>#REF!</v>
      </c>
      <c r="P24" s="63" t="e">
        <v>#REF!</v>
      </c>
      <c r="Q24" s="63" t="e">
        <v>#REF!</v>
      </c>
      <c r="R24" s="63" t="e">
        <v>#REF!</v>
      </c>
      <c r="S24" s="63" t="e">
        <v>#REF!</v>
      </c>
      <c r="T24" s="63" t="e">
        <v>#REF!</v>
      </c>
      <c r="U24" s="63" t="e">
        <v>#REF!</v>
      </c>
      <c r="V24" s="63" t="e">
        <v>#REF!</v>
      </c>
      <c r="W24" s="63" t="e">
        <v>#REF!</v>
      </c>
      <c r="X24" s="63" t="e">
        <v>#REF!</v>
      </c>
      <c r="Y24" s="63" t="e">
        <v>#REF!</v>
      </c>
      <c r="Z24" s="63" t="e">
        <v>#REF!</v>
      </c>
      <c r="AA24" s="63" t="e">
        <v>#REF!</v>
      </c>
      <c r="AB24" s="63" t="e">
        <v>#REF!</v>
      </c>
      <c r="AC24" s="63" t="e">
        <v>#REF!</v>
      </c>
      <c r="AD24" s="63" t="e">
        <v>#REF!</v>
      </c>
      <c r="AE24" s="63" t="e">
        <v>#REF!</v>
      </c>
      <c r="AF24" s="63" t="e">
        <v>#REF!</v>
      </c>
      <c r="AH24" s="63" t="e">
        <v>#REF!</v>
      </c>
      <c r="AI24" s="63" t="e">
        <v>#REF!</v>
      </c>
      <c r="AJ24" s="63" t="e">
        <v>#REF!</v>
      </c>
      <c r="AK24" s="63" t="e">
        <v>#REF!</v>
      </c>
      <c r="AL24" s="63" t="e">
        <v>#REF!</v>
      </c>
      <c r="AM24" s="63" t="e">
        <v>#REF!</v>
      </c>
      <c r="AN24" s="63" t="e">
        <v>#REF!</v>
      </c>
      <c r="AO24" s="63" t="e">
        <v>#REF!</v>
      </c>
      <c r="AP24" s="63" t="e">
        <v>#REF!</v>
      </c>
      <c r="AQ24" s="63" t="e">
        <v>#REF!</v>
      </c>
      <c r="AR24" s="63" t="e">
        <v>#REF!</v>
      </c>
      <c r="AS24" s="63" t="e">
        <v>#REF!</v>
      </c>
      <c r="AT24" s="63" t="e">
        <v>#REF!</v>
      </c>
      <c r="AU24" s="63" t="e">
        <v>#REF!</v>
      </c>
      <c r="AV24" s="63" t="e">
        <v>#REF!</v>
      </c>
      <c r="AX24" s="63" t="e">
        <v>#REF!</v>
      </c>
      <c r="AY24" s="63" t="e">
        <v>#REF!</v>
      </c>
      <c r="AZ24" s="63" t="e">
        <v>#REF!</v>
      </c>
      <c r="BA24" s="63" t="e">
        <v>#REF!</v>
      </c>
      <c r="BB24" s="63" t="e">
        <v>#REF!</v>
      </c>
      <c r="BC24" s="63" t="e">
        <v>#REF!</v>
      </c>
      <c r="BD24" s="63" t="e">
        <v>#REF!</v>
      </c>
      <c r="BE24" s="63" t="e">
        <v>#REF!</v>
      </c>
      <c r="BF24" s="63" t="e">
        <v>#REF!</v>
      </c>
      <c r="BG24" s="63" t="e">
        <v>#REF!</v>
      </c>
      <c r="BH24" s="63" t="e">
        <v>#REF!</v>
      </c>
      <c r="BI24" s="63" t="e">
        <v>#REF!</v>
      </c>
      <c r="BJ24" s="63" t="e">
        <v>#REF!</v>
      </c>
      <c r="BK24" s="63" t="e">
        <v>#REF!</v>
      </c>
    </row>
    <row r="25" spans="2:63">
      <c r="B25" s="92" t="e">
        <v>#REF!</v>
      </c>
      <c r="C25" s="92" t="e">
        <v>#REF!</v>
      </c>
      <c r="E25" s="92" t="e">
        <v>#REF!</v>
      </c>
      <c r="F25" s="92" t="e">
        <v>#REF!</v>
      </c>
      <c r="M25" s="63" t="e">
        <v>#REF!</v>
      </c>
      <c r="N25" s="63" t="e">
        <v>#REF!</v>
      </c>
      <c r="O25" s="63" t="e">
        <v>#REF!</v>
      </c>
      <c r="P25" s="63" t="e">
        <v>#REF!</v>
      </c>
      <c r="Q25" s="63" t="e">
        <v>#REF!</v>
      </c>
      <c r="R25" s="63" t="e">
        <v>#REF!</v>
      </c>
      <c r="S25" s="63" t="e">
        <v>#REF!</v>
      </c>
      <c r="T25" s="63" t="e">
        <v>#REF!</v>
      </c>
      <c r="U25" s="63" t="e">
        <v>#REF!</v>
      </c>
      <c r="V25" s="63" t="e">
        <v>#REF!</v>
      </c>
      <c r="W25" s="63" t="e">
        <v>#REF!</v>
      </c>
      <c r="X25" s="63" t="e">
        <v>#REF!</v>
      </c>
      <c r="Y25" s="63" t="e">
        <v>#REF!</v>
      </c>
      <c r="Z25" s="63" t="e">
        <v>#REF!</v>
      </c>
      <c r="AA25" s="63" t="e">
        <v>#REF!</v>
      </c>
      <c r="AB25" s="63" t="e">
        <v>#REF!</v>
      </c>
      <c r="AC25" s="63" t="e">
        <v>#REF!</v>
      </c>
      <c r="AD25" s="63" t="e">
        <v>#REF!</v>
      </c>
      <c r="AE25" s="63" t="e">
        <v>#REF!</v>
      </c>
      <c r="AF25" s="63" t="e">
        <v>#REF!</v>
      </c>
      <c r="AH25" s="63" t="e">
        <v>#REF!</v>
      </c>
      <c r="AI25" s="63" t="e">
        <v>#REF!</v>
      </c>
      <c r="AJ25" s="63" t="e">
        <v>#REF!</v>
      </c>
      <c r="AK25" s="63" t="e">
        <v>#REF!</v>
      </c>
      <c r="AL25" s="63" t="e">
        <v>#REF!</v>
      </c>
      <c r="AM25" s="63" t="e">
        <v>#REF!</v>
      </c>
      <c r="AN25" s="63" t="e">
        <v>#REF!</v>
      </c>
      <c r="AO25" s="63" t="e">
        <v>#REF!</v>
      </c>
      <c r="AP25" s="63" t="e">
        <v>#REF!</v>
      </c>
      <c r="AQ25" s="63" t="e">
        <v>#REF!</v>
      </c>
      <c r="AR25" s="63" t="e">
        <v>#REF!</v>
      </c>
      <c r="AS25" s="63" t="e">
        <v>#REF!</v>
      </c>
      <c r="AT25" s="63" t="e">
        <v>#REF!</v>
      </c>
      <c r="AU25" s="63" t="e">
        <v>#REF!</v>
      </c>
      <c r="AV25" s="63" t="e">
        <v>#REF!</v>
      </c>
      <c r="AX25" s="63" t="e">
        <v>#REF!</v>
      </c>
      <c r="AY25" s="63" t="e">
        <v>#REF!</v>
      </c>
      <c r="AZ25" s="63" t="e">
        <v>#REF!</v>
      </c>
      <c r="BA25" s="63" t="e">
        <v>#REF!</v>
      </c>
      <c r="BB25" s="63" t="e">
        <v>#REF!</v>
      </c>
      <c r="BC25" s="63" t="e">
        <v>#REF!</v>
      </c>
      <c r="BD25" s="63" t="e">
        <v>#REF!</v>
      </c>
      <c r="BE25" s="63" t="e">
        <v>#REF!</v>
      </c>
      <c r="BF25" s="63" t="e">
        <v>#REF!</v>
      </c>
      <c r="BG25" s="63" t="e">
        <v>#REF!</v>
      </c>
      <c r="BH25" s="63" t="e">
        <v>#REF!</v>
      </c>
      <c r="BI25" s="63" t="e">
        <v>#REF!</v>
      </c>
      <c r="BJ25" s="63" t="e">
        <v>#REF!</v>
      </c>
      <c r="BK25" s="63" t="e">
        <v>#REF!</v>
      </c>
    </row>
    <row r="26" spans="2:63">
      <c r="B26" s="92" t="e">
        <v>#REF!</v>
      </c>
      <c r="C26" s="92" t="e">
        <v>#REF!</v>
      </c>
      <c r="E26" s="92" t="e">
        <v>#REF!</v>
      </c>
      <c r="F26" s="92" t="e">
        <v>#REF!</v>
      </c>
      <c r="M26" s="63" t="e">
        <v>#REF!</v>
      </c>
      <c r="N26" s="63" t="e">
        <v>#REF!</v>
      </c>
      <c r="O26" s="63" t="e">
        <v>#REF!</v>
      </c>
      <c r="P26" s="63" t="e">
        <v>#REF!</v>
      </c>
      <c r="Q26" s="63" t="e">
        <v>#REF!</v>
      </c>
      <c r="R26" s="63" t="e">
        <v>#REF!</v>
      </c>
      <c r="S26" s="63" t="e">
        <v>#REF!</v>
      </c>
      <c r="T26" s="63" t="e">
        <v>#REF!</v>
      </c>
      <c r="U26" s="63" t="e">
        <v>#REF!</v>
      </c>
      <c r="V26" s="63" t="e">
        <v>#REF!</v>
      </c>
      <c r="W26" s="63" t="e">
        <v>#REF!</v>
      </c>
      <c r="X26" s="63" t="e">
        <v>#REF!</v>
      </c>
      <c r="Y26" s="63" t="e">
        <v>#REF!</v>
      </c>
      <c r="Z26" s="63" t="e">
        <v>#REF!</v>
      </c>
      <c r="AA26" s="63" t="e">
        <v>#REF!</v>
      </c>
      <c r="AB26" s="63" t="e">
        <v>#REF!</v>
      </c>
      <c r="AC26" s="63" t="e">
        <v>#REF!</v>
      </c>
      <c r="AD26" s="63" t="e">
        <v>#REF!</v>
      </c>
      <c r="AE26" s="63" t="e">
        <v>#REF!</v>
      </c>
      <c r="AF26" s="63" t="e">
        <v>#REF!</v>
      </c>
      <c r="AH26" s="63" t="e">
        <v>#REF!</v>
      </c>
      <c r="AI26" s="63" t="e">
        <v>#REF!</v>
      </c>
      <c r="AJ26" s="63" t="e">
        <v>#REF!</v>
      </c>
      <c r="AK26" s="63" t="e">
        <v>#REF!</v>
      </c>
      <c r="AL26" s="63" t="e">
        <v>#REF!</v>
      </c>
      <c r="AM26" s="63" t="e">
        <v>#REF!</v>
      </c>
      <c r="AN26" s="63" t="e">
        <v>#REF!</v>
      </c>
      <c r="AO26" s="63" t="e">
        <v>#REF!</v>
      </c>
      <c r="AP26" s="63" t="e">
        <v>#REF!</v>
      </c>
      <c r="AQ26" s="63" t="e">
        <v>#REF!</v>
      </c>
      <c r="AR26" s="63" t="e">
        <v>#REF!</v>
      </c>
      <c r="AS26" s="63" t="e">
        <v>#REF!</v>
      </c>
      <c r="AT26" s="63" t="e">
        <v>#REF!</v>
      </c>
      <c r="AU26" s="63" t="e">
        <v>#REF!</v>
      </c>
      <c r="AV26" s="63" t="e">
        <v>#REF!</v>
      </c>
      <c r="AX26" s="63" t="e">
        <v>#REF!</v>
      </c>
      <c r="AY26" s="63" t="e">
        <v>#REF!</v>
      </c>
      <c r="AZ26" s="63" t="e">
        <v>#REF!</v>
      </c>
      <c r="BA26" s="63" t="e">
        <v>#REF!</v>
      </c>
      <c r="BB26" s="63" t="e">
        <v>#REF!</v>
      </c>
      <c r="BC26" s="63" t="e">
        <v>#REF!</v>
      </c>
      <c r="BD26" s="63" t="e">
        <v>#REF!</v>
      </c>
      <c r="BE26" s="63" t="e">
        <v>#REF!</v>
      </c>
      <c r="BF26" s="63" t="e">
        <v>#REF!</v>
      </c>
      <c r="BG26" s="63" t="e">
        <v>#REF!</v>
      </c>
      <c r="BH26" s="63" t="e">
        <v>#REF!</v>
      </c>
      <c r="BI26" s="63" t="e">
        <v>#REF!</v>
      </c>
      <c r="BJ26" s="63" t="e">
        <v>#REF!</v>
      </c>
      <c r="BK26" s="63" t="e">
        <v>#REF!</v>
      </c>
    </row>
    <row r="27" spans="2:63">
      <c r="B27" s="92" t="e">
        <v>#REF!</v>
      </c>
      <c r="C27" s="92" t="e">
        <v>#REF!</v>
      </c>
      <c r="E27" s="92" t="e">
        <v>#REF!</v>
      </c>
      <c r="F27" s="92" t="e">
        <v>#REF!</v>
      </c>
      <c r="M27" s="63" t="e">
        <v>#REF!</v>
      </c>
      <c r="N27" s="63" t="e">
        <v>#REF!</v>
      </c>
      <c r="O27" s="63" t="e">
        <v>#REF!</v>
      </c>
      <c r="P27" s="63" t="e">
        <v>#REF!</v>
      </c>
      <c r="Q27" s="63" t="e">
        <v>#REF!</v>
      </c>
      <c r="R27" s="63" t="e">
        <v>#REF!</v>
      </c>
      <c r="S27" s="63" t="e">
        <v>#REF!</v>
      </c>
      <c r="T27" s="63" t="e">
        <v>#REF!</v>
      </c>
      <c r="U27" s="63" t="e">
        <v>#REF!</v>
      </c>
      <c r="V27" s="63" t="e">
        <v>#REF!</v>
      </c>
      <c r="W27" s="63" t="e">
        <v>#REF!</v>
      </c>
      <c r="X27" s="63" t="e">
        <v>#REF!</v>
      </c>
      <c r="Y27" s="63" t="e">
        <v>#REF!</v>
      </c>
      <c r="Z27" s="63" t="e">
        <v>#REF!</v>
      </c>
      <c r="AA27" s="63" t="e">
        <v>#REF!</v>
      </c>
      <c r="AB27" s="63" t="e">
        <v>#REF!</v>
      </c>
      <c r="AC27" s="63" t="e">
        <v>#REF!</v>
      </c>
      <c r="AD27" s="63" t="e">
        <v>#REF!</v>
      </c>
      <c r="AE27" s="63" t="e">
        <v>#REF!</v>
      </c>
      <c r="AF27" s="63" t="e">
        <v>#REF!</v>
      </c>
      <c r="AH27" s="63" t="e">
        <v>#REF!</v>
      </c>
      <c r="AI27" s="63" t="e">
        <v>#REF!</v>
      </c>
      <c r="AJ27" s="63" t="e">
        <v>#REF!</v>
      </c>
      <c r="AK27" s="63" t="e">
        <v>#REF!</v>
      </c>
      <c r="AL27" s="63" t="e">
        <v>#REF!</v>
      </c>
      <c r="AM27" s="63" t="e">
        <v>#REF!</v>
      </c>
      <c r="AN27" s="63" t="e">
        <v>#REF!</v>
      </c>
      <c r="AO27" s="63" t="e">
        <v>#REF!</v>
      </c>
      <c r="AP27" s="63" t="e">
        <v>#REF!</v>
      </c>
      <c r="AQ27" s="63" t="e">
        <v>#REF!</v>
      </c>
      <c r="AR27" s="63" t="e">
        <v>#REF!</v>
      </c>
      <c r="AS27" s="63" t="e">
        <v>#REF!</v>
      </c>
      <c r="AT27" s="63" t="e">
        <v>#REF!</v>
      </c>
      <c r="AU27" s="63" t="e">
        <v>#REF!</v>
      </c>
      <c r="AV27" s="63" t="e">
        <v>#REF!</v>
      </c>
      <c r="AX27" s="63" t="e">
        <v>#REF!</v>
      </c>
      <c r="AY27" s="63" t="e">
        <v>#REF!</v>
      </c>
      <c r="AZ27" s="63" t="e">
        <v>#REF!</v>
      </c>
      <c r="BA27" s="63" t="e">
        <v>#REF!</v>
      </c>
      <c r="BB27" s="63" t="e">
        <v>#REF!</v>
      </c>
      <c r="BC27" s="63" t="e">
        <v>#REF!</v>
      </c>
      <c r="BD27" s="63" t="e">
        <v>#REF!</v>
      </c>
      <c r="BE27" s="63" t="e">
        <v>#REF!</v>
      </c>
      <c r="BF27" s="63" t="e">
        <v>#REF!</v>
      </c>
      <c r="BG27" s="63" t="e">
        <v>#REF!</v>
      </c>
      <c r="BH27" s="63" t="e">
        <v>#REF!</v>
      </c>
      <c r="BI27" s="63" t="e">
        <v>#REF!</v>
      </c>
      <c r="BJ27" s="63" t="e">
        <v>#REF!</v>
      </c>
      <c r="BK27" s="63" t="e">
        <v>#REF!</v>
      </c>
    </row>
    <row r="28" spans="2:63">
      <c r="B28" s="92" t="e">
        <v>#REF!</v>
      </c>
      <c r="C28" s="92" t="e">
        <v>#REF!</v>
      </c>
      <c r="E28" s="92" t="e">
        <v>#REF!</v>
      </c>
      <c r="F28" s="92" t="e">
        <v>#REF!</v>
      </c>
      <c r="M28" s="63" t="e">
        <v>#REF!</v>
      </c>
      <c r="N28" s="63" t="e">
        <v>#REF!</v>
      </c>
      <c r="O28" s="63" t="e">
        <v>#REF!</v>
      </c>
      <c r="P28" s="63" t="e">
        <v>#REF!</v>
      </c>
      <c r="Q28" s="63" t="e">
        <v>#REF!</v>
      </c>
      <c r="R28" s="63" t="e">
        <v>#REF!</v>
      </c>
      <c r="S28" s="63" t="e">
        <v>#REF!</v>
      </c>
      <c r="T28" s="63" t="e">
        <v>#REF!</v>
      </c>
      <c r="U28" s="63" t="e">
        <v>#REF!</v>
      </c>
      <c r="V28" s="63" t="e">
        <v>#REF!</v>
      </c>
      <c r="W28" s="63" t="e">
        <v>#REF!</v>
      </c>
      <c r="X28" s="63" t="e">
        <v>#REF!</v>
      </c>
      <c r="Y28" s="63" t="e">
        <v>#REF!</v>
      </c>
      <c r="Z28" s="63" t="e">
        <v>#REF!</v>
      </c>
      <c r="AA28" s="63" t="e">
        <v>#REF!</v>
      </c>
      <c r="AB28" s="63" t="e">
        <v>#REF!</v>
      </c>
      <c r="AC28" s="63" t="e">
        <v>#REF!</v>
      </c>
      <c r="AD28" s="63" t="e">
        <v>#REF!</v>
      </c>
      <c r="AE28" s="63" t="e">
        <v>#REF!</v>
      </c>
      <c r="AF28" s="63" t="e">
        <v>#REF!</v>
      </c>
      <c r="AH28" s="63" t="e">
        <v>#REF!</v>
      </c>
      <c r="AI28" s="63" t="e">
        <v>#REF!</v>
      </c>
      <c r="AJ28" s="63" t="e">
        <v>#REF!</v>
      </c>
      <c r="AK28" s="63" t="e">
        <v>#REF!</v>
      </c>
      <c r="AL28" s="63" t="e">
        <v>#REF!</v>
      </c>
      <c r="AM28" s="63" t="e">
        <v>#REF!</v>
      </c>
      <c r="AN28" s="63" t="e">
        <v>#REF!</v>
      </c>
      <c r="AO28" s="63" t="e">
        <v>#REF!</v>
      </c>
      <c r="AP28" s="63" t="e">
        <v>#REF!</v>
      </c>
      <c r="AQ28" s="63" t="e">
        <v>#REF!</v>
      </c>
      <c r="AR28" s="63" t="e">
        <v>#REF!</v>
      </c>
      <c r="AS28" s="63" t="e">
        <v>#REF!</v>
      </c>
      <c r="AT28" s="63" t="e">
        <v>#REF!</v>
      </c>
      <c r="AU28" s="63" t="e">
        <v>#REF!</v>
      </c>
      <c r="AV28" s="63" t="e">
        <v>#REF!</v>
      </c>
      <c r="AX28" s="63" t="e">
        <v>#REF!</v>
      </c>
      <c r="AY28" s="63" t="e">
        <v>#REF!</v>
      </c>
      <c r="AZ28" s="63" t="e">
        <v>#REF!</v>
      </c>
      <c r="BA28" s="63" t="e">
        <v>#REF!</v>
      </c>
      <c r="BB28" s="63" t="e">
        <v>#REF!</v>
      </c>
      <c r="BC28" s="63" t="e">
        <v>#REF!</v>
      </c>
      <c r="BD28" s="63" t="e">
        <v>#REF!</v>
      </c>
      <c r="BE28" s="63" t="e">
        <v>#REF!</v>
      </c>
      <c r="BF28" s="63" t="e">
        <v>#REF!</v>
      </c>
      <c r="BG28" s="63" t="e">
        <v>#REF!</v>
      </c>
      <c r="BH28" s="63" t="e">
        <v>#REF!</v>
      </c>
      <c r="BI28" s="63" t="e">
        <v>#REF!</v>
      </c>
      <c r="BJ28" s="63" t="e">
        <v>#REF!</v>
      </c>
      <c r="BK28" s="63" t="e">
        <v>#REF!</v>
      </c>
    </row>
    <row r="29" spans="2:63">
      <c r="B29" s="92" t="e">
        <v>#REF!</v>
      </c>
      <c r="C29" s="92" t="e">
        <v>#REF!</v>
      </c>
      <c r="E29" s="92" t="e">
        <v>#REF!</v>
      </c>
      <c r="F29" s="92" t="e">
        <v>#REF!</v>
      </c>
      <c r="M29" s="63" t="e">
        <v>#REF!</v>
      </c>
      <c r="N29" s="63" t="e">
        <v>#REF!</v>
      </c>
      <c r="O29" s="63" t="e">
        <v>#REF!</v>
      </c>
      <c r="P29" s="63" t="e">
        <v>#REF!</v>
      </c>
      <c r="Q29" s="63" t="e">
        <v>#REF!</v>
      </c>
      <c r="R29" s="63" t="e">
        <v>#REF!</v>
      </c>
      <c r="S29" s="63" t="e">
        <v>#REF!</v>
      </c>
      <c r="T29" s="63" t="e">
        <v>#REF!</v>
      </c>
      <c r="U29" s="63" t="e">
        <v>#REF!</v>
      </c>
      <c r="V29" s="63" t="e">
        <v>#REF!</v>
      </c>
      <c r="W29" s="63" t="e">
        <v>#REF!</v>
      </c>
      <c r="X29" s="63" t="e">
        <v>#REF!</v>
      </c>
      <c r="Y29" s="63" t="e">
        <v>#REF!</v>
      </c>
      <c r="Z29" s="63" t="e">
        <v>#REF!</v>
      </c>
      <c r="AA29" s="63" t="e">
        <v>#REF!</v>
      </c>
      <c r="AB29" s="63" t="e">
        <v>#REF!</v>
      </c>
      <c r="AC29" s="63" t="e">
        <v>#REF!</v>
      </c>
      <c r="AD29" s="63" t="e">
        <v>#REF!</v>
      </c>
      <c r="AE29" s="63" t="e">
        <v>#REF!</v>
      </c>
      <c r="AF29" s="63" t="e">
        <v>#REF!</v>
      </c>
      <c r="AH29" s="63" t="e">
        <v>#REF!</v>
      </c>
      <c r="AI29" s="63" t="e">
        <v>#REF!</v>
      </c>
      <c r="AJ29" s="63" t="e">
        <v>#REF!</v>
      </c>
      <c r="AK29" s="63" t="e">
        <v>#REF!</v>
      </c>
      <c r="AL29" s="63" t="e">
        <v>#REF!</v>
      </c>
      <c r="AM29" s="63" t="e">
        <v>#REF!</v>
      </c>
      <c r="AN29" s="63" t="e">
        <v>#REF!</v>
      </c>
      <c r="AO29" s="63" t="e">
        <v>#REF!</v>
      </c>
      <c r="AP29" s="63" t="e">
        <v>#REF!</v>
      </c>
      <c r="AQ29" s="63" t="e">
        <v>#REF!</v>
      </c>
      <c r="AR29" s="63" t="e">
        <v>#REF!</v>
      </c>
      <c r="AS29" s="63" t="e">
        <v>#REF!</v>
      </c>
      <c r="AT29" s="63" t="e">
        <v>#REF!</v>
      </c>
      <c r="AU29" s="63" t="e">
        <v>#REF!</v>
      </c>
      <c r="AV29" s="63" t="e">
        <v>#REF!</v>
      </c>
      <c r="AX29" s="63" t="e">
        <v>#REF!</v>
      </c>
      <c r="AY29" s="63" t="e">
        <v>#REF!</v>
      </c>
      <c r="AZ29" s="63" t="e">
        <v>#REF!</v>
      </c>
      <c r="BA29" s="63" t="e">
        <v>#REF!</v>
      </c>
      <c r="BB29" s="63" t="e">
        <v>#REF!</v>
      </c>
      <c r="BC29" s="63" t="e">
        <v>#REF!</v>
      </c>
      <c r="BD29" s="63" t="e">
        <v>#REF!</v>
      </c>
      <c r="BE29" s="63" t="e">
        <v>#REF!</v>
      </c>
      <c r="BF29" s="63" t="e">
        <v>#REF!</v>
      </c>
      <c r="BG29" s="63" t="e">
        <v>#REF!</v>
      </c>
      <c r="BH29" s="63" t="e">
        <v>#REF!</v>
      </c>
      <c r="BI29" s="63" t="e">
        <v>#REF!</v>
      </c>
      <c r="BJ29" s="63" t="e">
        <v>#REF!</v>
      </c>
      <c r="BK29" s="63" t="e">
        <v>#REF!</v>
      </c>
    </row>
    <row r="30" spans="2:63">
      <c r="B30" s="92" t="e">
        <v>#REF!</v>
      </c>
      <c r="C30" s="92" t="e">
        <v>#REF!</v>
      </c>
      <c r="E30" s="92" t="e">
        <v>#REF!</v>
      </c>
      <c r="F30" s="92" t="e">
        <v>#REF!</v>
      </c>
      <c r="M30" s="63" t="e">
        <v>#REF!</v>
      </c>
      <c r="N30" s="63" t="e">
        <v>#REF!</v>
      </c>
      <c r="O30" s="63" t="e">
        <v>#REF!</v>
      </c>
      <c r="P30" s="63" t="e">
        <v>#REF!</v>
      </c>
      <c r="Q30" s="63" t="e">
        <v>#REF!</v>
      </c>
      <c r="R30" s="63" t="e">
        <v>#REF!</v>
      </c>
      <c r="S30" s="63" t="e">
        <v>#REF!</v>
      </c>
      <c r="T30" s="63" t="e">
        <v>#REF!</v>
      </c>
      <c r="U30" s="63" t="e">
        <v>#REF!</v>
      </c>
      <c r="V30" s="63" t="e">
        <v>#REF!</v>
      </c>
      <c r="W30" s="63" t="e">
        <v>#REF!</v>
      </c>
      <c r="X30" s="63" t="e">
        <v>#REF!</v>
      </c>
      <c r="Y30" s="63" t="e">
        <v>#REF!</v>
      </c>
      <c r="Z30" s="63" t="e">
        <v>#REF!</v>
      </c>
      <c r="AA30" s="63" t="e">
        <v>#REF!</v>
      </c>
      <c r="AB30" s="63" t="e">
        <v>#REF!</v>
      </c>
      <c r="AC30" s="63" t="e">
        <v>#REF!</v>
      </c>
      <c r="AD30" s="63" t="e">
        <v>#REF!</v>
      </c>
      <c r="AE30" s="63" t="e">
        <v>#REF!</v>
      </c>
      <c r="AF30" s="63" t="e">
        <v>#REF!</v>
      </c>
      <c r="AH30" s="63" t="e">
        <v>#REF!</v>
      </c>
      <c r="AI30" s="63" t="e">
        <v>#REF!</v>
      </c>
      <c r="AJ30" s="63" t="e">
        <v>#REF!</v>
      </c>
      <c r="AK30" s="63" t="e">
        <v>#REF!</v>
      </c>
      <c r="AL30" s="63" t="e">
        <v>#REF!</v>
      </c>
      <c r="AM30" s="63" t="e">
        <v>#REF!</v>
      </c>
      <c r="AN30" s="63" t="e">
        <v>#REF!</v>
      </c>
      <c r="AO30" s="63" t="e">
        <v>#REF!</v>
      </c>
      <c r="AP30" s="63" t="e">
        <v>#REF!</v>
      </c>
      <c r="AQ30" s="63" t="e">
        <v>#REF!</v>
      </c>
      <c r="AR30" s="63" t="e">
        <v>#REF!</v>
      </c>
      <c r="AS30" s="63" t="e">
        <v>#REF!</v>
      </c>
      <c r="AT30" s="63" t="e">
        <v>#REF!</v>
      </c>
      <c r="AU30" s="63" t="e">
        <v>#REF!</v>
      </c>
      <c r="AV30" s="63" t="e">
        <v>#REF!</v>
      </c>
      <c r="AX30" s="63" t="e">
        <v>#REF!</v>
      </c>
      <c r="AY30" s="63" t="e">
        <v>#REF!</v>
      </c>
      <c r="AZ30" s="63" t="e">
        <v>#REF!</v>
      </c>
      <c r="BA30" s="63" t="e">
        <v>#REF!</v>
      </c>
      <c r="BB30" s="63" t="e">
        <v>#REF!</v>
      </c>
      <c r="BC30" s="63" t="e">
        <v>#REF!</v>
      </c>
      <c r="BD30" s="63" t="e">
        <v>#REF!</v>
      </c>
      <c r="BE30" s="63" t="e">
        <v>#REF!</v>
      </c>
      <c r="BF30" s="63" t="e">
        <v>#REF!</v>
      </c>
      <c r="BG30" s="63" t="e">
        <v>#REF!</v>
      </c>
      <c r="BH30" s="63" t="e">
        <v>#REF!</v>
      </c>
      <c r="BI30" s="63" t="e">
        <v>#REF!</v>
      </c>
      <c r="BJ30" s="63" t="e">
        <v>#REF!</v>
      </c>
      <c r="BK30" s="63" t="e">
        <v>#REF!</v>
      </c>
    </row>
    <row r="31" spans="2:63">
      <c r="B31" s="92" t="e">
        <v>#REF!</v>
      </c>
      <c r="C31" s="92" t="e">
        <v>#REF!</v>
      </c>
      <c r="E31" s="92" t="e">
        <v>#REF!</v>
      </c>
      <c r="F31" s="92" t="e">
        <v>#REF!</v>
      </c>
      <c r="M31" s="63" t="e">
        <v>#REF!</v>
      </c>
      <c r="N31" s="63" t="e">
        <v>#REF!</v>
      </c>
      <c r="O31" s="63" t="e">
        <v>#REF!</v>
      </c>
      <c r="P31" s="63" t="e">
        <v>#REF!</v>
      </c>
      <c r="Q31" s="63" t="e">
        <v>#REF!</v>
      </c>
      <c r="R31" s="63" t="e">
        <v>#REF!</v>
      </c>
      <c r="S31" s="63" t="e">
        <v>#REF!</v>
      </c>
      <c r="T31" s="63" t="e">
        <v>#REF!</v>
      </c>
      <c r="U31" s="63" t="e">
        <v>#REF!</v>
      </c>
      <c r="V31" s="63" t="e">
        <v>#REF!</v>
      </c>
      <c r="W31" s="63" t="e">
        <v>#REF!</v>
      </c>
      <c r="X31" s="63" t="e">
        <v>#REF!</v>
      </c>
      <c r="Y31" s="63" t="e">
        <v>#REF!</v>
      </c>
      <c r="Z31" s="63" t="e">
        <v>#REF!</v>
      </c>
      <c r="AA31" s="63" t="e">
        <v>#REF!</v>
      </c>
      <c r="AB31" s="63" t="e">
        <v>#REF!</v>
      </c>
      <c r="AC31" s="63" t="e">
        <v>#REF!</v>
      </c>
      <c r="AD31" s="63" t="e">
        <v>#REF!</v>
      </c>
      <c r="AE31" s="63" t="e">
        <v>#REF!</v>
      </c>
      <c r="AF31" s="63" t="e">
        <v>#REF!</v>
      </c>
      <c r="AH31" s="63" t="e">
        <v>#REF!</v>
      </c>
      <c r="AI31" s="63" t="e">
        <v>#REF!</v>
      </c>
      <c r="AJ31" s="63" t="e">
        <v>#REF!</v>
      </c>
      <c r="AK31" s="63" t="e">
        <v>#REF!</v>
      </c>
      <c r="AL31" s="63" t="e">
        <v>#REF!</v>
      </c>
      <c r="AM31" s="63" t="e">
        <v>#REF!</v>
      </c>
      <c r="AN31" s="63" t="e">
        <v>#REF!</v>
      </c>
      <c r="AO31" s="63" t="e">
        <v>#REF!</v>
      </c>
      <c r="AP31" s="63" t="e">
        <v>#REF!</v>
      </c>
      <c r="AQ31" s="63" t="e">
        <v>#REF!</v>
      </c>
      <c r="AR31" s="63" t="e">
        <v>#REF!</v>
      </c>
      <c r="AS31" s="63" t="e">
        <v>#REF!</v>
      </c>
      <c r="AT31" s="63" t="e">
        <v>#REF!</v>
      </c>
      <c r="AU31" s="63" t="e">
        <v>#REF!</v>
      </c>
      <c r="AV31" s="63" t="e">
        <v>#REF!</v>
      </c>
      <c r="AX31" s="63" t="e">
        <v>#REF!</v>
      </c>
      <c r="AY31" s="63" t="e">
        <v>#REF!</v>
      </c>
      <c r="AZ31" s="63" t="e">
        <v>#REF!</v>
      </c>
      <c r="BA31" s="63" t="e">
        <v>#REF!</v>
      </c>
      <c r="BB31" s="63" t="e">
        <v>#REF!</v>
      </c>
      <c r="BC31" s="63" t="e">
        <v>#REF!</v>
      </c>
      <c r="BD31" s="63" t="e">
        <v>#REF!</v>
      </c>
      <c r="BE31" s="63" t="e">
        <v>#REF!</v>
      </c>
      <c r="BF31" s="63" t="e">
        <v>#REF!</v>
      </c>
      <c r="BG31" s="63" t="e">
        <v>#REF!</v>
      </c>
      <c r="BH31" s="63" t="e">
        <v>#REF!</v>
      </c>
      <c r="BI31" s="63" t="e">
        <v>#REF!</v>
      </c>
      <c r="BJ31" s="63" t="e">
        <v>#REF!</v>
      </c>
      <c r="BK31" s="63" t="e">
        <v>#REF!</v>
      </c>
    </row>
    <row r="32" spans="2:63">
      <c r="B32" s="92" t="e">
        <v>#REF!</v>
      </c>
      <c r="C32" s="92" t="e">
        <v>#REF!</v>
      </c>
      <c r="E32" s="92" t="e">
        <v>#REF!</v>
      </c>
      <c r="F32" s="92" t="e">
        <v>#REF!</v>
      </c>
      <c r="M32" s="63" t="e">
        <v>#REF!</v>
      </c>
      <c r="N32" s="63" t="e">
        <v>#REF!</v>
      </c>
      <c r="O32" s="63" t="e">
        <v>#REF!</v>
      </c>
      <c r="P32" s="63" t="e">
        <v>#REF!</v>
      </c>
      <c r="Q32" s="63" t="e">
        <v>#REF!</v>
      </c>
      <c r="R32" s="63" t="e">
        <v>#REF!</v>
      </c>
      <c r="S32" s="63" t="e">
        <v>#REF!</v>
      </c>
      <c r="T32" s="63" t="e">
        <v>#REF!</v>
      </c>
      <c r="U32" s="63" t="e">
        <v>#REF!</v>
      </c>
      <c r="V32" s="63" t="e">
        <v>#REF!</v>
      </c>
      <c r="W32" s="63" t="e">
        <v>#REF!</v>
      </c>
      <c r="X32" s="63" t="e">
        <v>#REF!</v>
      </c>
      <c r="Y32" s="63" t="e">
        <v>#REF!</v>
      </c>
      <c r="Z32" s="63" t="e">
        <v>#REF!</v>
      </c>
      <c r="AA32" s="63" t="e">
        <v>#REF!</v>
      </c>
      <c r="AB32" s="63" t="e">
        <v>#REF!</v>
      </c>
      <c r="AC32" s="63" t="e">
        <v>#REF!</v>
      </c>
      <c r="AD32" s="63" t="e">
        <v>#REF!</v>
      </c>
      <c r="AE32" s="63" t="e">
        <v>#REF!</v>
      </c>
      <c r="AF32" s="63" t="e">
        <v>#REF!</v>
      </c>
      <c r="AH32" s="63" t="e">
        <v>#REF!</v>
      </c>
      <c r="AI32" s="63" t="e">
        <v>#REF!</v>
      </c>
      <c r="AJ32" s="63" t="e">
        <v>#REF!</v>
      </c>
      <c r="AK32" s="63" t="e">
        <v>#REF!</v>
      </c>
      <c r="AL32" s="63" t="e">
        <v>#REF!</v>
      </c>
      <c r="AM32" s="63" t="e">
        <v>#REF!</v>
      </c>
      <c r="AN32" s="63" t="e">
        <v>#REF!</v>
      </c>
      <c r="AO32" s="63" t="e">
        <v>#REF!</v>
      </c>
      <c r="AP32" s="63" t="e">
        <v>#REF!</v>
      </c>
      <c r="AQ32" s="63" t="e">
        <v>#REF!</v>
      </c>
      <c r="AR32" s="63" t="e">
        <v>#REF!</v>
      </c>
      <c r="AS32" s="63" t="e">
        <v>#REF!</v>
      </c>
      <c r="AT32" s="63" t="e">
        <v>#REF!</v>
      </c>
      <c r="AU32" s="63" t="e">
        <v>#REF!</v>
      </c>
      <c r="AV32" s="63" t="e">
        <v>#REF!</v>
      </c>
      <c r="AX32" s="63" t="e">
        <v>#REF!</v>
      </c>
      <c r="AY32" s="63" t="e">
        <v>#REF!</v>
      </c>
      <c r="AZ32" s="63" t="e">
        <v>#REF!</v>
      </c>
      <c r="BA32" s="63" t="e">
        <v>#REF!</v>
      </c>
      <c r="BB32" s="63" t="e">
        <v>#REF!</v>
      </c>
      <c r="BC32" s="63" t="e">
        <v>#REF!</v>
      </c>
      <c r="BD32" s="63" t="e">
        <v>#REF!</v>
      </c>
      <c r="BE32" s="63" t="e">
        <v>#REF!</v>
      </c>
      <c r="BF32" s="63" t="e">
        <v>#REF!</v>
      </c>
      <c r="BG32" s="63" t="e">
        <v>#REF!</v>
      </c>
      <c r="BH32" s="63" t="e">
        <v>#REF!</v>
      </c>
      <c r="BI32" s="63" t="e">
        <v>#REF!</v>
      </c>
      <c r="BJ32" s="63" t="e">
        <v>#REF!</v>
      </c>
      <c r="BK32" s="63" t="e">
        <v>#REF!</v>
      </c>
    </row>
    <row r="33" spans="2:63">
      <c r="B33" s="92" t="e">
        <v>#REF!</v>
      </c>
      <c r="C33" s="92" t="e">
        <v>#REF!</v>
      </c>
      <c r="E33" s="92" t="e">
        <v>#REF!</v>
      </c>
      <c r="F33" s="92" t="e">
        <v>#REF!</v>
      </c>
      <c r="M33" s="63" t="e">
        <v>#REF!</v>
      </c>
      <c r="N33" s="63" t="e">
        <v>#REF!</v>
      </c>
      <c r="O33" s="63" t="e">
        <v>#REF!</v>
      </c>
      <c r="P33" s="63" t="e">
        <v>#REF!</v>
      </c>
      <c r="Q33" s="63" t="e">
        <v>#REF!</v>
      </c>
      <c r="R33" s="63" t="e">
        <v>#REF!</v>
      </c>
      <c r="S33" s="63" t="e">
        <v>#REF!</v>
      </c>
      <c r="T33" s="63" t="e">
        <v>#REF!</v>
      </c>
      <c r="U33" s="63" t="e">
        <v>#REF!</v>
      </c>
      <c r="V33" s="63" t="e">
        <v>#REF!</v>
      </c>
      <c r="W33" s="63" t="e">
        <v>#REF!</v>
      </c>
      <c r="X33" s="63" t="e">
        <v>#REF!</v>
      </c>
      <c r="Y33" s="63" t="e">
        <v>#REF!</v>
      </c>
      <c r="Z33" s="63" t="e">
        <v>#REF!</v>
      </c>
      <c r="AA33" s="63" t="e">
        <v>#REF!</v>
      </c>
      <c r="AB33" s="63" t="e">
        <v>#REF!</v>
      </c>
      <c r="AC33" s="63" t="e">
        <v>#REF!</v>
      </c>
      <c r="AD33" s="63" t="e">
        <v>#REF!</v>
      </c>
      <c r="AE33" s="63" t="e">
        <v>#REF!</v>
      </c>
      <c r="AF33" s="63" t="e">
        <v>#REF!</v>
      </c>
      <c r="AH33" s="63" t="e">
        <v>#REF!</v>
      </c>
      <c r="AI33" s="63" t="e">
        <v>#REF!</v>
      </c>
      <c r="AJ33" s="63" t="e">
        <v>#REF!</v>
      </c>
      <c r="AK33" s="63" t="e">
        <v>#REF!</v>
      </c>
      <c r="AL33" s="63" t="e">
        <v>#REF!</v>
      </c>
      <c r="AM33" s="63" t="e">
        <v>#REF!</v>
      </c>
      <c r="AN33" s="63" t="e">
        <v>#REF!</v>
      </c>
      <c r="AO33" s="63" t="e">
        <v>#REF!</v>
      </c>
      <c r="AP33" s="63" t="e">
        <v>#REF!</v>
      </c>
      <c r="AQ33" s="63" t="e">
        <v>#REF!</v>
      </c>
      <c r="AR33" s="63" t="e">
        <v>#REF!</v>
      </c>
      <c r="AS33" s="63" t="e">
        <v>#REF!</v>
      </c>
      <c r="AT33" s="63" t="e">
        <v>#REF!</v>
      </c>
      <c r="AU33" s="63" t="e">
        <v>#REF!</v>
      </c>
      <c r="AV33" s="63" t="e">
        <v>#REF!</v>
      </c>
      <c r="AX33" s="63" t="e">
        <v>#REF!</v>
      </c>
      <c r="AY33" s="63" t="e">
        <v>#REF!</v>
      </c>
      <c r="AZ33" s="63" t="e">
        <v>#REF!</v>
      </c>
      <c r="BA33" s="63" t="e">
        <v>#REF!</v>
      </c>
      <c r="BB33" s="63" t="e">
        <v>#REF!</v>
      </c>
      <c r="BC33" s="63" t="e">
        <v>#REF!</v>
      </c>
      <c r="BD33" s="63" t="e">
        <v>#REF!</v>
      </c>
      <c r="BE33" s="63" t="e">
        <v>#REF!</v>
      </c>
      <c r="BF33" s="63" t="e">
        <v>#REF!</v>
      </c>
      <c r="BG33" s="63" t="e">
        <v>#REF!</v>
      </c>
      <c r="BH33" s="63" t="e">
        <v>#REF!</v>
      </c>
      <c r="BI33" s="63" t="e">
        <v>#REF!</v>
      </c>
      <c r="BJ33" s="63" t="e">
        <v>#REF!</v>
      </c>
      <c r="BK33" s="63" t="e">
        <v>#REF!</v>
      </c>
    </row>
    <row r="34" spans="2:63">
      <c r="B34" s="92" t="e">
        <v>#REF!</v>
      </c>
      <c r="C34" s="92" t="e">
        <v>#REF!</v>
      </c>
      <c r="E34" s="92" t="e">
        <v>#REF!</v>
      </c>
      <c r="F34" s="92" t="e">
        <v>#REF!</v>
      </c>
      <c r="M34" s="63" t="e">
        <v>#REF!</v>
      </c>
      <c r="N34" s="63" t="e">
        <v>#REF!</v>
      </c>
      <c r="O34" s="63" t="e">
        <v>#REF!</v>
      </c>
      <c r="P34" s="63" t="e">
        <v>#REF!</v>
      </c>
      <c r="Q34" s="63" t="e">
        <v>#REF!</v>
      </c>
      <c r="R34" s="63" t="e">
        <v>#REF!</v>
      </c>
      <c r="S34" s="63" t="e">
        <v>#REF!</v>
      </c>
      <c r="T34" s="63" t="e">
        <v>#REF!</v>
      </c>
      <c r="U34" s="63" t="e">
        <v>#REF!</v>
      </c>
      <c r="V34" s="63" t="e">
        <v>#REF!</v>
      </c>
      <c r="W34" s="63" t="e">
        <v>#REF!</v>
      </c>
      <c r="X34" s="63" t="e">
        <v>#REF!</v>
      </c>
      <c r="Y34" s="63" t="e">
        <v>#REF!</v>
      </c>
      <c r="Z34" s="63" t="e">
        <v>#REF!</v>
      </c>
      <c r="AA34" s="63" t="e">
        <v>#REF!</v>
      </c>
      <c r="AB34" s="63" t="e">
        <v>#REF!</v>
      </c>
      <c r="AC34" s="63" t="e">
        <v>#REF!</v>
      </c>
      <c r="AD34" s="63" t="e">
        <v>#REF!</v>
      </c>
      <c r="AE34" s="63" t="e">
        <v>#REF!</v>
      </c>
      <c r="AF34" s="63" t="e">
        <v>#REF!</v>
      </c>
      <c r="AH34" s="63" t="e">
        <v>#REF!</v>
      </c>
      <c r="AI34" s="63" t="e">
        <v>#REF!</v>
      </c>
      <c r="AJ34" s="63" t="e">
        <v>#REF!</v>
      </c>
      <c r="AK34" s="63" t="e">
        <v>#REF!</v>
      </c>
      <c r="AL34" s="63" t="e">
        <v>#REF!</v>
      </c>
      <c r="AM34" s="63" t="e">
        <v>#REF!</v>
      </c>
      <c r="AN34" s="63" t="e">
        <v>#REF!</v>
      </c>
      <c r="AO34" s="63" t="e">
        <v>#REF!</v>
      </c>
      <c r="AP34" s="63" t="e">
        <v>#REF!</v>
      </c>
      <c r="AQ34" s="63" t="e">
        <v>#REF!</v>
      </c>
      <c r="AR34" s="63" t="e">
        <v>#REF!</v>
      </c>
      <c r="AS34" s="63" t="e">
        <v>#REF!</v>
      </c>
      <c r="AT34" s="63" t="e">
        <v>#REF!</v>
      </c>
      <c r="AU34" s="63" t="e">
        <v>#REF!</v>
      </c>
      <c r="AV34" s="63" t="e">
        <v>#REF!</v>
      </c>
      <c r="AX34" s="63" t="e">
        <v>#REF!</v>
      </c>
      <c r="AY34" s="63" t="e">
        <v>#REF!</v>
      </c>
      <c r="AZ34" s="63" t="e">
        <v>#REF!</v>
      </c>
      <c r="BA34" s="63" t="e">
        <v>#REF!</v>
      </c>
      <c r="BB34" s="63" t="e">
        <v>#REF!</v>
      </c>
      <c r="BC34" s="63" t="e">
        <v>#REF!</v>
      </c>
      <c r="BD34" s="63" t="e">
        <v>#REF!</v>
      </c>
      <c r="BE34" s="63" t="e">
        <v>#REF!</v>
      </c>
      <c r="BF34" s="63" t="e">
        <v>#REF!</v>
      </c>
      <c r="BG34" s="63" t="e">
        <v>#REF!</v>
      </c>
      <c r="BH34" s="63" t="e">
        <v>#REF!</v>
      </c>
      <c r="BI34" s="63" t="e">
        <v>#REF!</v>
      </c>
      <c r="BJ34" s="63" t="e">
        <v>#REF!</v>
      </c>
      <c r="BK34" s="63" t="e">
        <v>#REF!</v>
      </c>
    </row>
    <row r="35" spans="2:63">
      <c r="B35" s="92" t="e">
        <v>#REF!</v>
      </c>
      <c r="C35" s="92" t="e">
        <v>#REF!</v>
      </c>
      <c r="E35" s="92" t="e">
        <v>#REF!</v>
      </c>
      <c r="F35" s="92" t="e">
        <v>#REF!</v>
      </c>
      <c r="M35" s="63" t="e">
        <v>#REF!</v>
      </c>
      <c r="N35" s="63" t="e">
        <v>#REF!</v>
      </c>
      <c r="O35" s="63" t="e">
        <v>#REF!</v>
      </c>
      <c r="P35" s="63" t="e">
        <v>#REF!</v>
      </c>
      <c r="Q35" s="63" t="e">
        <v>#REF!</v>
      </c>
      <c r="R35" s="63" t="e">
        <v>#REF!</v>
      </c>
      <c r="S35" s="63" t="e">
        <v>#REF!</v>
      </c>
      <c r="T35" s="63" t="e">
        <v>#REF!</v>
      </c>
      <c r="U35" s="63" t="e">
        <v>#REF!</v>
      </c>
      <c r="V35" s="63" t="e">
        <v>#REF!</v>
      </c>
      <c r="W35" s="63" t="e">
        <v>#REF!</v>
      </c>
      <c r="X35" s="63" t="e">
        <v>#REF!</v>
      </c>
      <c r="Y35" s="63" t="e">
        <v>#REF!</v>
      </c>
      <c r="Z35" s="63" t="e">
        <v>#REF!</v>
      </c>
      <c r="AA35" s="63" t="e">
        <v>#REF!</v>
      </c>
      <c r="AB35" s="63" t="e">
        <v>#REF!</v>
      </c>
      <c r="AC35" s="63" t="e">
        <v>#REF!</v>
      </c>
      <c r="AD35" s="63" t="e">
        <v>#REF!</v>
      </c>
      <c r="AE35" s="63" t="e">
        <v>#REF!</v>
      </c>
      <c r="AF35" s="63" t="e">
        <v>#REF!</v>
      </c>
      <c r="AH35" s="63" t="e">
        <v>#REF!</v>
      </c>
      <c r="AI35" s="63" t="e">
        <v>#REF!</v>
      </c>
      <c r="AJ35" s="63" t="e">
        <v>#REF!</v>
      </c>
      <c r="AK35" s="63" t="e">
        <v>#REF!</v>
      </c>
      <c r="AL35" s="63" t="e">
        <v>#REF!</v>
      </c>
      <c r="AM35" s="63" t="e">
        <v>#REF!</v>
      </c>
      <c r="AN35" s="63" t="e">
        <v>#REF!</v>
      </c>
      <c r="AO35" s="63" t="e">
        <v>#REF!</v>
      </c>
      <c r="AP35" s="63" t="e">
        <v>#REF!</v>
      </c>
      <c r="AQ35" s="63" t="e">
        <v>#REF!</v>
      </c>
      <c r="AR35" s="63" t="e">
        <v>#REF!</v>
      </c>
      <c r="AS35" s="63" t="e">
        <v>#REF!</v>
      </c>
      <c r="AT35" s="63" t="e">
        <v>#REF!</v>
      </c>
      <c r="AU35" s="63" t="e">
        <v>#REF!</v>
      </c>
      <c r="AV35" s="63" t="e">
        <v>#REF!</v>
      </c>
      <c r="AX35" s="63" t="e">
        <v>#REF!</v>
      </c>
      <c r="AY35" s="63" t="e">
        <v>#REF!</v>
      </c>
      <c r="AZ35" s="63" t="e">
        <v>#REF!</v>
      </c>
      <c r="BA35" s="63" t="e">
        <v>#REF!</v>
      </c>
      <c r="BB35" s="63" t="e">
        <v>#REF!</v>
      </c>
      <c r="BC35" s="63" t="e">
        <v>#REF!</v>
      </c>
      <c r="BD35" s="63" t="e">
        <v>#REF!</v>
      </c>
      <c r="BE35" s="63" t="e">
        <v>#REF!</v>
      </c>
      <c r="BF35" s="63" t="e">
        <v>#REF!</v>
      </c>
      <c r="BG35" s="63" t="e">
        <v>#REF!</v>
      </c>
      <c r="BH35" s="63" t="e">
        <v>#REF!</v>
      </c>
      <c r="BI35" s="63" t="e">
        <v>#REF!</v>
      </c>
      <c r="BJ35" s="63" t="e">
        <v>#REF!</v>
      </c>
      <c r="BK35" s="63" t="e">
        <v>#REF!</v>
      </c>
    </row>
    <row r="36" spans="2:63">
      <c r="B36" s="92" t="e">
        <v>#REF!</v>
      </c>
      <c r="C36" s="92" t="e">
        <v>#REF!</v>
      </c>
      <c r="E36" s="92" t="e">
        <v>#REF!</v>
      </c>
      <c r="F36" s="92" t="e">
        <v>#REF!</v>
      </c>
      <c r="M36" s="63" t="e">
        <v>#REF!</v>
      </c>
      <c r="N36" s="63" t="e">
        <v>#REF!</v>
      </c>
      <c r="O36" s="63" t="e">
        <v>#REF!</v>
      </c>
      <c r="P36" s="63" t="e">
        <v>#REF!</v>
      </c>
      <c r="Q36" s="63" t="e">
        <v>#REF!</v>
      </c>
      <c r="R36" s="63" t="e">
        <v>#REF!</v>
      </c>
      <c r="S36" s="63" t="e">
        <v>#REF!</v>
      </c>
      <c r="T36" s="63" t="e">
        <v>#REF!</v>
      </c>
      <c r="U36" s="63" t="e">
        <v>#REF!</v>
      </c>
      <c r="V36" s="63" t="e">
        <v>#REF!</v>
      </c>
      <c r="W36" s="63" t="e">
        <v>#REF!</v>
      </c>
      <c r="X36" s="63" t="e">
        <v>#REF!</v>
      </c>
      <c r="Y36" s="63" t="e">
        <v>#REF!</v>
      </c>
      <c r="Z36" s="63" t="e">
        <v>#REF!</v>
      </c>
      <c r="AA36" s="63" t="e">
        <v>#REF!</v>
      </c>
      <c r="AB36" s="63" t="e">
        <v>#REF!</v>
      </c>
      <c r="AC36" s="63" t="e">
        <v>#REF!</v>
      </c>
      <c r="AD36" s="63" t="e">
        <v>#REF!</v>
      </c>
      <c r="AE36" s="63" t="e">
        <v>#REF!</v>
      </c>
      <c r="AF36" s="63" t="e">
        <v>#REF!</v>
      </c>
      <c r="AH36" s="63" t="e">
        <v>#REF!</v>
      </c>
      <c r="AI36" s="63" t="e">
        <v>#REF!</v>
      </c>
      <c r="AJ36" s="63" t="e">
        <v>#REF!</v>
      </c>
      <c r="AK36" s="63" t="e">
        <v>#REF!</v>
      </c>
      <c r="AL36" s="63" t="e">
        <v>#REF!</v>
      </c>
      <c r="AM36" s="63" t="e">
        <v>#REF!</v>
      </c>
      <c r="AN36" s="63" t="e">
        <v>#REF!</v>
      </c>
      <c r="AO36" s="63" t="e">
        <v>#REF!</v>
      </c>
      <c r="AP36" s="63" t="e">
        <v>#REF!</v>
      </c>
      <c r="AQ36" s="63" t="e">
        <v>#REF!</v>
      </c>
      <c r="AR36" s="63" t="e">
        <v>#REF!</v>
      </c>
      <c r="AS36" s="63" t="e">
        <v>#REF!</v>
      </c>
      <c r="AT36" s="63" t="e">
        <v>#REF!</v>
      </c>
      <c r="AU36" s="63" t="e">
        <v>#REF!</v>
      </c>
      <c r="AV36" s="63" t="e">
        <v>#REF!</v>
      </c>
      <c r="AX36" s="63" t="e">
        <v>#REF!</v>
      </c>
      <c r="AY36" s="63" t="e">
        <v>#REF!</v>
      </c>
      <c r="AZ36" s="63" t="e">
        <v>#REF!</v>
      </c>
      <c r="BA36" s="63" t="e">
        <v>#REF!</v>
      </c>
      <c r="BB36" s="63" t="e">
        <v>#REF!</v>
      </c>
      <c r="BC36" s="63" t="e">
        <v>#REF!</v>
      </c>
      <c r="BD36" s="63" t="e">
        <v>#REF!</v>
      </c>
      <c r="BE36" s="63" t="e">
        <v>#REF!</v>
      </c>
      <c r="BF36" s="63" t="e">
        <v>#REF!</v>
      </c>
      <c r="BG36" s="63" t="e">
        <v>#REF!</v>
      </c>
      <c r="BH36" s="63" t="e">
        <v>#REF!</v>
      </c>
      <c r="BI36" s="63" t="e">
        <v>#REF!</v>
      </c>
      <c r="BJ36" s="63" t="e">
        <v>#REF!</v>
      </c>
      <c r="BK36" s="63" t="e">
        <v>#REF!</v>
      </c>
    </row>
    <row r="37" spans="2:63">
      <c r="B37" s="92" t="e">
        <v>#REF!</v>
      </c>
      <c r="C37" s="92" t="e">
        <v>#REF!</v>
      </c>
      <c r="E37" s="92" t="e">
        <v>#REF!</v>
      </c>
      <c r="F37" s="92" t="e">
        <v>#REF!</v>
      </c>
      <c r="M37" s="63" t="e">
        <v>#REF!</v>
      </c>
      <c r="N37" s="63" t="e">
        <v>#REF!</v>
      </c>
      <c r="O37" s="63" t="e">
        <v>#REF!</v>
      </c>
      <c r="P37" s="63" t="e">
        <v>#REF!</v>
      </c>
      <c r="Q37" s="63" t="e">
        <v>#REF!</v>
      </c>
      <c r="R37" s="63" t="e">
        <v>#REF!</v>
      </c>
      <c r="S37" s="63" t="e">
        <v>#REF!</v>
      </c>
      <c r="T37" s="63" t="e">
        <v>#REF!</v>
      </c>
      <c r="U37" s="63" t="e">
        <v>#REF!</v>
      </c>
      <c r="V37" s="63" t="e">
        <v>#REF!</v>
      </c>
      <c r="W37" s="63" t="e">
        <v>#REF!</v>
      </c>
      <c r="X37" s="63" t="e">
        <v>#REF!</v>
      </c>
      <c r="Y37" s="63" t="e">
        <v>#REF!</v>
      </c>
      <c r="Z37" s="63" t="e">
        <v>#REF!</v>
      </c>
      <c r="AA37" s="63" t="e">
        <v>#REF!</v>
      </c>
      <c r="AB37" s="63" t="e">
        <v>#REF!</v>
      </c>
      <c r="AC37" s="63" t="e">
        <v>#REF!</v>
      </c>
      <c r="AD37" s="63" t="e">
        <v>#REF!</v>
      </c>
      <c r="AE37" s="63" t="e">
        <v>#REF!</v>
      </c>
      <c r="AF37" s="63" t="e">
        <v>#REF!</v>
      </c>
      <c r="AH37" s="63" t="e">
        <v>#REF!</v>
      </c>
      <c r="AI37" s="63" t="e">
        <v>#REF!</v>
      </c>
      <c r="AJ37" s="63" t="e">
        <v>#REF!</v>
      </c>
      <c r="AK37" s="63" t="e">
        <v>#REF!</v>
      </c>
      <c r="AL37" s="63" t="e">
        <v>#REF!</v>
      </c>
      <c r="AM37" s="63" t="e">
        <v>#REF!</v>
      </c>
      <c r="AN37" s="63" t="e">
        <v>#REF!</v>
      </c>
      <c r="AO37" s="63" t="e">
        <v>#REF!</v>
      </c>
      <c r="AP37" s="63" t="e">
        <v>#REF!</v>
      </c>
      <c r="AQ37" s="63" t="e">
        <v>#REF!</v>
      </c>
      <c r="AR37" s="63" t="e">
        <v>#REF!</v>
      </c>
      <c r="AS37" s="63" t="e">
        <v>#REF!</v>
      </c>
      <c r="AT37" s="63" t="e">
        <v>#REF!</v>
      </c>
      <c r="AU37" s="63" t="e">
        <v>#REF!</v>
      </c>
      <c r="AV37" s="63" t="e">
        <v>#REF!</v>
      </c>
      <c r="AX37" s="63" t="e">
        <v>#REF!</v>
      </c>
      <c r="AY37" s="63" t="e">
        <v>#REF!</v>
      </c>
      <c r="AZ37" s="63" t="e">
        <v>#REF!</v>
      </c>
      <c r="BA37" s="63" t="e">
        <v>#REF!</v>
      </c>
      <c r="BB37" s="63" t="e">
        <v>#REF!</v>
      </c>
      <c r="BC37" s="63" t="e">
        <v>#REF!</v>
      </c>
      <c r="BD37" s="63" t="e">
        <v>#REF!</v>
      </c>
      <c r="BE37" s="63" t="e">
        <v>#REF!</v>
      </c>
      <c r="BF37" s="63" t="e">
        <v>#REF!</v>
      </c>
      <c r="BG37" s="63" t="e">
        <v>#REF!</v>
      </c>
      <c r="BH37" s="63" t="e">
        <v>#REF!</v>
      </c>
      <c r="BI37" s="63" t="e">
        <v>#REF!</v>
      </c>
      <c r="BJ37" s="63" t="e">
        <v>#REF!</v>
      </c>
      <c r="BK37" s="63" t="e">
        <v>#REF!</v>
      </c>
    </row>
    <row r="38" spans="2:63">
      <c r="B38" s="92" t="e">
        <v>#REF!</v>
      </c>
      <c r="C38" s="92" t="e">
        <v>#REF!</v>
      </c>
      <c r="E38" s="92" t="e">
        <v>#REF!</v>
      </c>
      <c r="F38" s="92" t="e">
        <v>#REF!</v>
      </c>
      <c r="M38" s="63" t="e">
        <v>#REF!</v>
      </c>
      <c r="N38" s="63" t="e">
        <v>#REF!</v>
      </c>
      <c r="O38" s="63" t="e">
        <v>#REF!</v>
      </c>
      <c r="P38" s="63" t="e">
        <v>#REF!</v>
      </c>
      <c r="Q38" s="63" t="e">
        <v>#REF!</v>
      </c>
      <c r="R38" s="63" t="e">
        <v>#REF!</v>
      </c>
      <c r="S38" s="63" t="e">
        <v>#REF!</v>
      </c>
      <c r="T38" s="63" t="e">
        <v>#REF!</v>
      </c>
      <c r="U38" s="63" t="e">
        <v>#REF!</v>
      </c>
      <c r="V38" s="63" t="e">
        <v>#REF!</v>
      </c>
      <c r="W38" s="63" t="e">
        <v>#REF!</v>
      </c>
      <c r="X38" s="63" t="e">
        <v>#REF!</v>
      </c>
      <c r="Y38" s="63" t="e">
        <v>#REF!</v>
      </c>
      <c r="Z38" s="63" t="e">
        <v>#REF!</v>
      </c>
      <c r="AA38" s="63" t="e">
        <v>#REF!</v>
      </c>
      <c r="AB38" s="63" t="e">
        <v>#REF!</v>
      </c>
      <c r="AC38" s="63" t="e">
        <v>#REF!</v>
      </c>
      <c r="AD38" s="63" t="e">
        <v>#REF!</v>
      </c>
      <c r="AE38" s="63" t="e">
        <v>#REF!</v>
      </c>
      <c r="AF38" s="63" t="e">
        <v>#REF!</v>
      </c>
      <c r="AH38" s="63" t="e">
        <v>#REF!</v>
      </c>
      <c r="AI38" s="63" t="e">
        <v>#REF!</v>
      </c>
      <c r="AJ38" s="63" t="e">
        <v>#REF!</v>
      </c>
      <c r="AK38" s="63" t="e">
        <v>#REF!</v>
      </c>
      <c r="AL38" s="63" t="e">
        <v>#REF!</v>
      </c>
      <c r="AM38" s="63" t="e">
        <v>#REF!</v>
      </c>
      <c r="AN38" s="63" t="e">
        <v>#REF!</v>
      </c>
      <c r="AO38" s="63" t="e">
        <v>#REF!</v>
      </c>
      <c r="AP38" s="63" t="e">
        <v>#REF!</v>
      </c>
      <c r="AQ38" s="63" t="e">
        <v>#REF!</v>
      </c>
      <c r="AR38" s="63" t="e">
        <v>#REF!</v>
      </c>
      <c r="AS38" s="63" t="e">
        <v>#REF!</v>
      </c>
      <c r="AT38" s="63" t="e">
        <v>#REF!</v>
      </c>
      <c r="AU38" s="63" t="e">
        <v>#REF!</v>
      </c>
      <c r="AV38" s="63" t="e">
        <v>#REF!</v>
      </c>
      <c r="AX38" s="63" t="e">
        <v>#REF!</v>
      </c>
      <c r="AY38" s="63" t="e">
        <v>#REF!</v>
      </c>
      <c r="AZ38" s="63" t="e">
        <v>#REF!</v>
      </c>
      <c r="BA38" s="63" t="e">
        <v>#REF!</v>
      </c>
      <c r="BB38" s="63" t="e">
        <v>#REF!</v>
      </c>
      <c r="BC38" s="63" t="e">
        <v>#REF!</v>
      </c>
      <c r="BD38" s="63" t="e">
        <v>#REF!</v>
      </c>
      <c r="BE38" s="63" t="e">
        <v>#REF!</v>
      </c>
      <c r="BF38" s="63" t="e">
        <v>#REF!</v>
      </c>
      <c r="BG38" s="63" t="e">
        <v>#REF!</v>
      </c>
      <c r="BH38" s="63" t="e">
        <v>#REF!</v>
      </c>
      <c r="BI38" s="63" t="e">
        <v>#REF!</v>
      </c>
      <c r="BJ38" s="63" t="e">
        <v>#REF!</v>
      </c>
      <c r="BK38" s="63" t="e">
        <v>#REF!</v>
      </c>
    </row>
    <row r="39" spans="2:63">
      <c r="B39" s="92" t="e">
        <v>#REF!</v>
      </c>
      <c r="C39" s="92" t="e">
        <v>#REF!</v>
      </c>
      <c r="E39" s="92" t="e">
        <v>#REF!</v>
      </c>
      <c r="F39" s="92" t="e">
        <v>#REF!</v>
      </c>
      <c r="M39" s="63" t="e">
        <v>#REF!</v>
      </c>
      <c r="N39" s="63" t="e">
        <v>#REF!</v>
      </c>
      <c r="O39" s="63" t="e">
        <v>#REF!</v>
      </c>
      <c r="P39" s="63" t="e">
        <v>#REF!</v>
      </c>
      <c r="Q39" s="63" t="e">
        <v>#REF!</v>
      </c>
      <c r="R39" s="63" t="e">
        <v>#REF!</v>
      </c>
      <c r="S39" s="63" t="e">
        <v>#REF!</v>
      </c>
      <c r="T39" s="63" t="e">
        <v>#REF!</v>
      </c>
      <c r="U39" s="63" t="e">
        <v>#REF!</v>
      </c>
      <c r="V39" s="63" t="e">
        <v>#REF!</v>
      </c>
      <c r="W39" s="63" t="e">
        <v>#REF!</v>
      </c>
      <c r="X39" s="63" t="e">
        <v>#REF!</v>
      </c>
      <c r="Y39" s="63" t="e">
        <v>#REF!</v>
      </c>
      <c r="Z39" s="63" t="e">
        <v>#REF!</v>
      </c>
      <c r="AA39" s="63" t="e">
        <v>#REF!</v>
      </c>
      <c r="AB39" s="63" t="e">
        <v>#REF!</v>
      </c>
      <c r="AC39" s="63" t="e">
        <v>#REF!</v>
      </c>
      <c r="AD39" s="63" t="e">
        <v>#REF!</v>
      </c>
      <c r="AE39" s="63" t="e">
        <v>#REF!</v>
      </c>
      <c r="AF39" s="63" t="e">
        <v>#REF!</v>
      </c>
      <c r="AH39" s="63" t="e">
        <v>#REF!</v>
      </c>
      <c r="AI39" s="63" t="e">
        <v>#REF!</v>
      </c>
      <c r="AJ39" s="63" t="e">
        <v>#REF!</v>
      </c>
      <c r="AK39" s="63" t="e">
        <v>#REF!</v>
      </c>
      <c r="AL39" s="63" t="e">
        <v>#REF!</v>
      </c>
      <c r="AM39" s="63" t="e">
        <v>#REF!</v>
      </c>
      <c r="AN39" s="63" t="e">
        <v>#REF!</v>
      </c>
      <c r="AO39" s="63" t="e">
        <v>#REF!</v>
      </c>
      <c r="AP39" s="63" t="e">
        <v>#REF!</v>
      </c>
      <c r="AQ39" s="63" t="e">
        <v>#REF!</v>
      </c>
      <c r="AR39" s="63" t="e">
        <v>#REF!</v>
      </c>
      <c r="AS39" s="63" t="e">
        <v>#REF!</v>
      </c>
      <c r="AT39" s="63" t="e">
        <v>#REF!</v>
      </c>
      <c r="AU39" s="63" t="e">
        <v>#REF!</v>
      </c>
      <c r="AV39" s="63" t="e">
        <v>#REF!</v>
      </c>
      <c r="AX39" s="63" t="e">
        <v>#REF!</v>
      </c>
      <c r="AY39" s="63" t="e">
        <v>#REF!</v>
      </c>
      <c r="AZ39" s="63" t="e">
        <v>#REF!</v>
      </c>
      <c r="BA39" s="63" t="e">
        <v>#REF!</v>
      </c>
      <c r="BB39" s="63" t="e">
        <v>#REF!</v>
      </c>
      <c r="BC39" s="63" t="e">
        <v>#REF!</v>
      </c>
      <c r="BD39" s="63" t="e">
        <v>#REF!</v>
      </c>
      <c r="BE39" s="63" t="e">
        <v>#REF!</v>
      </c>
      <c r="BF39" s="63" t="e">
        <v>#REF!</v>
      </c>
      <c r="BG39" s="63" t="e">
        <v>#REF!</v>
      </c>
      <c r="BH39" s="63" t="e">
        <v>#REF!</v>
      </c>
      <c r="BI39" s="63" t="e">
        <v>#REF!</v>
      </c>
      <c r="BJ39" s="63" t="e">
        <v>#REF!</v>
      </c>
      <c r="BK39" s="63" t="e">
        <v>#REF!</v>
      </c>
    </row>
    <row r="40" spans="2:63">
      <c r="B40" s="92" t="e">
        <v>#REF!</v>
      </c>
      <c r="C40" s="92" t="e">
        <v>#REF!</v>
      </c>
      <c r="E40" s="92" t="e">
        <v>#REF!</v>
      </c>
      <c r="F40" s="92" t="e">
        <v>#REF!</v>
      </c>
      <c r="M40" s="63" t="e">
        <v>#REF!</v>
      </c>
      <c r="N40" s="63" t="e">
        <v>#REF!</v>
      </c>
      <c r="O40" s="63" t="e">
        <v>#REF!</v>
      </c>
      <c r="P40" s="63" t="e">
        <v>#REF!</v>
      </c>
      <c r="Q40" s="63" t="e">
        <v>#REF!</v>
      </c>
      <c r="R40" s="63" t="e">
        <v>#REF!</v>
      </c>
      <c r="S40" s="63" t="e">
        <v>#REF!</v>
      </c>
      <c r="T40" s="63" t="e">
        <v>#REF!</v>
      </c>
      <c r="U40" s="63" t="e">
        <v>#REF!</v>
      </c>
      <c r="V40" s="63" t="e">
        <v>#REF!</v>
      </c>
      <c r="W40" s="63" t="e">
        <v>#REF!</v>
      </c>
      <c r="X40" s="63" t="e">
        <v>#REF!</v>
      </c>
      <c r="Y40" s="63" t="e">
        <v>#REF!</v>
      </c>
      <c r="Z40" s="63" t="e">
        <v>#REF!</v>
      </c>
      <c r="AA40" s="63" t="e">
        <v>#REF!</v>
      </c>
      <c r="AB40" s="63" t="e">
        <v>#REF!</v>
      </c>
      <c r="AC40" s="63" t="e">
        <v>#REF!</v>
      </c>
      <c r="AD40" s="63" t="e">
        <v>#REF!</v>
      </c>
      <c r="AE40" s="63" t="e">
        <v>#REF!</v>
      </c>
      <c r="AF40" s="63" t="e">
        <v>#REF!</v>
      </c>
      <c r="AH40" s="63" t="e">
        <v>#REF!</v>
      </c>
      <c r="AI40" s="63" t="e">
        <v>#REF!</v>
      </c>
      <c r="AJ40" s="63" t="e">
        <v>#REF!</v>
      </c>
      <c r="AK40" s="63" t="e">
        <v>#REF!</v>
      </c>
      <c r="AL40" s="63" t="e">
        <v>#REF!</v>
      </c>
      <c r="AM40" s="63" t="e">
        <v>#REF!</v>
      </c>
      <c r="AN40" s="63" t="e">
        <v>#REF!</v>
      </c>
      <c r="AO40" s="63" t="e">
        <v>#REF!</v>
      </c>
      <c r="AP40" s="63" t="e">
        <v>#REF!</v>
      </c>
      <c r="AQ40" s="63" t="e">
        <v>#REF!</v>
      </c>
      <c r="AR40" s="63" t="e">
        <v>#REF!</v>
      </c>
      <c r="AS40" s="63" t="e">
        <v>#REF!</v>
      </c>
      <c r="AT40" s="63" t="e">
        <v>#REF!</v>
      </c>
      <c r="AU40" s="63" t="e">
        <v>#REF!</v>
      </c>
      <c r="AV40" s="63" t="e">
        <v>#REF!</v>
      </c>
      <c r="AX40" s="63" t="e">
        <v>#REF!</v>
      </c>
      <c r="AY40" s="63" t="e">
        <v>#REF!</v>
      </c>
      <c r="AZ40" s="63" t="e">
        <v>#REF!</v>
      </c>
      <c r="BA40" s="63" t="e">
        <v>#REF!</v>
      </c>
      <c r="BB40" s="63" t="e">
        <v>#REF!</v>
      </c>
      <c r="BC40" s="63" t="e">
        <v>#REF!</v>
      </c>
      <c r="BD40" s="63" t="e">
        <v>#REF!</v>
      </c>
      <c r="BE40" s="63" t="e">
        <v>#REF!</v>
      </c>
      <c r="BF40" s="63" t="e">
        <v>#REF!</v>
      </c>
      <c r="BG40" s="63" t="e">
        <v>#REF!</v>
      </c>
      <c r="BH40" s="63" t="e">
        <v>#REF!</v>
      </c>
      <c r="BI40" s="63" t="e">
        <v>#REF!</v>
      </c>
      <c r="BJ40" s="63" t="e">
        <v>#REF!</v>
      </c>
      <c r="BK40" s="63" t="e">
        <v>#REF!</v>
      </c>
    </row>
    <row r="41" spans="2:63">
      <c r="B41" s="92" t="e">
        <v>#REF!</v>
      </c>
      <c r="C41" s="92" t="e">
        <v>#REF!</v>
      </c>
      <c r="E41" s="92" t="e">
        <v>#REF!</v>
      </c>
      <c r="F41" s="92" t="e">
        <v>#REF!</v>
      </c>
      <c r="M41" s="63" t="e">
        <v>#REF!</v>
      </c>
      <c r="N41" s="63" t="e">
        <v>#REF!</v>
      </c>
      <c r="O41" s="63" t="e">
        <v>#REF!</v>
      </c>
      <c r="P41" s="63" t="e">
        <v>#REF!</v>
      </c>
      <c r="Q41" s="63" t="e">
        <v>#REF!</v>
      </c>
      <c r="R41" s="63" t="e">
        <v>#REF!</v>
      </c>
      <c r="S41" s="63" t="e">
        <v>#REF!</v>
      </c>
      <c r="T41" s="63" t="e">
        <v>#REF!</v>
      </c>
      <c r="U41" s="63" t="e">
        <v>#REF!</v>
      </c>
      <c r="V41" s="63" t="e">
        <v>#REF!</v>
      </c>
      <c r="W41" s="63" t="e">
        <v>#REF!</v>
      </c>
      <c r="X41" s="63" t="e">
        <v>#REF!</v>
      </c>
      <c r="Y41" s="63" t="e">
        <v>#REF!</v>
      </c>
      <c r="Z41" s="63" t="e">
        <v>#REF!</v>
      </c>
      <c r="AA41" s="63" t="e">
        <v>#REF!</v>
      </c>
      <c r="AB41" s="63" t="e">
        <v>#REF!</v>
      </c>
      <c r="AC41" s="63" t="e">
        <v>#REF!</v>
      </c>
      <c r="AD41" s="63" t="e">
        <v>#REF!</v>
      </c>
      <c r="AE41" s="63" t="e">
        <v>#REF!</v>
      </c>
      <c r="AF41" s="63" t="e">
        <v>#REF!</v>
      </c>
      <c r="AH41" s="63" t="e">
        <v>#REF!</v>
      </c>
      <c r="AI41" s="63" t="e">
        <v>#REF!</v>
      </c>
      <c r="AJ41" s="63" t="e">
        <v>#REF!</v>
      </c>
      <c r="AK41" s="63" t="e">
        <v>#REF!</v>
      </c>
      <c r="AL41" s="63" t="e">
        <v>#REF!</v>
      </c>
      <c r="AM41" s="63" t="e">
        <v>#REF!</v>
      </c>
      <c r="AN41" s="63" t="e">
        <v>#REF!</v>
      </c>
      <c r="AO41" s="63" t="e">
        <v>#REF!</v>
      </c>
      <c r="AP41" s="63" t="e">
        <v>#REF!</v>
      </c>
      <c r="AQ41" s="63" t="e">
        <v>#REF!</v>
      </c>
      <c r="AR41" s="63" t="e">
        <v>#REF!</v>
      </c>
      <c r="AS41" s="63" t="e">
        <v>#REF!</v>
      </c>
      <c r="AT41" s="63" t="e">
        <v>#REF!</v>
      </c>
      <c r="AU41" s="63" t="e">
        <v>#REF!</v>
      </c>
      <c r="AV41" s="63" t="e">
        <v>#REF!</v>
      </c>
      <c r="AX41" s="63" t="e">
        <v>#REF!</v>
      </c>
      <c r="AY41" s="63" t="e">
        <v>#REF!</v>
      </c>
      <c r="AZ41" s="63" t="e">
        <v>#REF!</v>
      </c>
      <c r="BA41" s="63" t="e">
        <v>#REF!</v>
      </c>
      <c r="BB41" s="63" t="e">
        <v>#REF!</v>
      </c>
      <c r="BC41" s="63" t="e">
        <v>#REF!</v>
      </c>
      <c r="BD41" s="63" t="e">
        <v>#REF!</v>
      </c>
      <c r="BE41" s="63" t="e">
        <v>#REF!</v>
      </c>
      <c r="BF41" s="63" t="e">
        <v>#REF!</v>
      </c>
      <c r="BG41" s="63" t="e">
        <v>#REF!</v>
      </c>
      <c r="BH41" s="63" t="e">
        <v>#REF!</v>
      </c>
      <c r="BI41" s="63" t="e">
        <v>#REF!</v>
      </c>
      <c r="BJ41" s="63" t="e">
        <v>#REF!</v>
      </c>
      <c r="BK41" s="63" t="e">
        <v>#REF!</v>
      </c>
    </row>
    <row r="42" spans="2:63">
      <c r="B42" s="92" t="e">
        <v>#REF!</v>
      </c>
      <c r="C42" s="92" t="e">
        <v>#REF!</v>
      </c>
      <c r="E42" s="92" t="e">
        <v>#REF!</v>
      </c>
      <c r="F42" s="92" t="e">
        <v>#REF!</v>
      </c>
      <c r="M42" s="63" t="e">
        <v>#REF!</v>
      </c>
      <c r="N42" s="63" t="e">
        <v>#REF!</v>
      </c>
      <c r="O42" s="63" t="e">
        <v>#REF!</v>
      </c>
      <c r="P42" s="63" t="e">
        <v>#REF!</v>
      </c>
      <c r="Q42" s="63" t="e">
        <v>#REF!</v>
      </c>
      <c r="R42" s="63" t="e">
        <v>#REF!</v>
      </c>
      <c r="S42" s="63" t="e">
        <v>#REF!</v>
      </c>
      <c r="T42" s="63" t="e">
        <v>#REF!</v>
      </c>
      <c r="U42" s="63" t="e">
        <v>#REF!</v>
      </c>
      <c r="V42" s="63" t="e">
        <v>#REF!</v>
      </c>
      <c r="W42" s="63" t="e">
        <v>#REF!</v>
      </c>
      <c r="X42" s="63" t="e">
        <v>#REF!</v>
      </c>
      <c r="Y42" s="63" t="e">
        <v>#REF!</v>
      </c>
      <c r="Z42" s="63" t="e">
        <v>#REF!</v>
      </c>
      <c r="AA42" s="63" t="e">
        <v>#REF!</v>
      </c>
      <c r="AB42" s="63" t="e">
        <v>#REF!</v>
      </c>
      <c r="AC42" s="63" t="e">
        <v>#REF!</v>
      </c>
      <c r="AD42" s="63" t="e">
        <v>#REF!</v>
      </c>
      <c r="AE42" s="63" t="e">
        <v>#REF!</v>
      </c>
      <c r="AF42" s="63" t="e">
        <v>#REF!</v>
      </c>
      <c r="AH42" s="63" t="e">
        <v>#REF!</v>
      </c>
      <c r="AI42" s="63" t="e">
        <v>#REF!</v>
      </c>
      <c r="AJ42" s="63" t="e">
        <v>#REF!</v>
      </c>
      <c r="AK42" s="63" t="e">
        <v>#REF!</v>
      </c>
      <c r="AL42" s="63" t="e">
        <v>#REF!</v>
      </c>
      <c r="AM42" s="63" t="e">
        <v>#REF!</v>
      </c>
      <c r="AN42" s="63" t="e">
        <v>#REF!</v>
      </c>
      <c r="AO42" s="63" t="e">
        <v>#REF!</v>
      </c>
      <c r="AP42" s="63" t="e">
        <v>#REF!</v>
      </c>
      <c r="AQ42" s="63" t="e">
        <v>#REF!</v>
      </c>
      <c r="AR42" s="63" t="e">
        <v>#REF!</v>
      </c>
      <c r="AS42" s="63" t="e">
        <v>#REF!</v>
      </c>
      <c r="AT42" s="63" t="e">
        <v>#REF!</v>
      </c>
      <c r="AU42" s="63" t="e">
        <v>#REF!</v>
      </c>
      <c r="AV42" s="63" t="e">
        <v>#REF!</v>
      </c>
      <c r="AX42" s="63" t="e">
        <v>#REF!</v>
      </c>
      <c r="AY42" s="63" t="e">
        <v>#REF!</v>
      </c>
      <c r="AZ42" s="63" t="e">
        <v>#REF!</v>
      </c>
      <c r="BA42" s="63" t="e">
        <v>#REF!</v>
      </c>
      <c r="BB42" s="63" t="e">
        <v>#REF!</v>
      </c>
      <c r="BC42" s="63" t="e">
        <v>#REF!</v>
      </c>
      <c r="BD42" s="63" t="e">
        <v>#REF!</v>
      </c>
      <c r="BE42" s="63" t="e">
        <v>#REF!</v>
      </c>
      <c r="BF42" s="63" t="e">
        <v>#REF!</v>
      </c>
      <c r="BG42" s="63" t="e">
        <v>#REF!</v>
      </c>
      <c r="BH42" s="63" t="e">
        <v>#REF!</v>
      </c>
      <c r="BI42" s="63" t="e">
        <v>#REF!</v>
      </c>
      <c r="BJ42" s="63" t="e">
        <v>#REF!</v>
      </c>
      <c r="BK42" s="63" t="e">
        <v>#REF!</v>
      </c>
    </row>
    <row r="43" spans="2:63">
      <c r="B43" s="92" t="e">
        <v>#REF!</v>
      </c>
      <c r="C43" s="92" t="e">
        <v>#REF!</v>
      </c>
      <c r="E43" s="92" t="e">
        <v>#REF!</v>
      </c>
      <c r="F43" s="92" t="e">
        <v>#REF!</v>
      </c>
      <c r="M43" s="63" t="e">
        <v>#REF!</v>
      </c>
      <c r="N43" s="63" t="e">
        <v>#REF!</v>
      </c>
      <c r="O43" s="63" t="e">
        <v>#REF!</v>
      </c>
      <c r="P43" s="63" t="e">
        <v>#REF!</v>
      </c>
      <c r="Q43" s="63" t="e">
        <v>#REF!</v>
      </c>
      <c r="R43" s="63" t="e">
        <v>#REF!</v>
      </c>
      <c r="S43" s="63" t="e">
        <v>#REF!</v>
      </c>
      <c r="T43" s="63" t="e">
        <v>#REF!</v>
      </c>
      <c r="U43" s="63" t="e">
        <v>#REF!</v>
      </c>
      <c r="V43" s="63" t="e">
        <v>#REF!</v>
      </c>
      <c r="W43" s="63" t="e">
        <v>#REF!</v>
      </c>
      <c r="X43" s="63" t="e">
        <v>#REF!</v>
      </c>
      <c r="Y43" s="63" t="e">
        <v>#REF!</v>
      </c>
      <c r="Z43" s="63" t="e">
        <v>#REF!</v>
      </c>
      <c r="AA43" s="63" t="e">
        <v>#REF!</v>
      </c>
      <c r="AB43" s="63" t="e">
        <v>#REF!</v>
      </c>
      <c r="AC43" s="63" t="e">
        <v>#REF!</v>
      </c>
      <c r="AD43" s="63" t="e">
        <v>#REF!</v>
      </c>
      <c r="AE43" s="63" t="e">
        <v>#REF!</v>
      </c>
      <c r="AF43" s="63" t="e">
        <v>#REF!</v>
      </c>
      <c r="AH43" s="63" t="e">
        <v>#REF!</v>
      </c>
      <c r="AI43" s="63" t="e">
        <v>#REF!</v>
      </c>
      <c r="AJ43" s="63" t="e">
        <v>#REF!</v>
      </c>
      <c r="AK43" s="63" t="e">
        <v>#REF!</v>
      </c>
      <c r="AL43" s="63" t="e">
        <v>#REF!</v>
      </c>
      <c r="AM43" s="63" t="e">
        <v>#REF!</v>
      </c>
      <c r="AN43" s="63" t="e">
        <v>#REF!</v>
      </c>
      <c r="AO43" s="63" t="e">
        <v>#REF!</v>
      </c>
      <c r="AP43" s="63" t="e">
        <v>#REF!</v>
      </c>
      <c r="AQ43" s="63" t="e">
        <v>#REF!</v>
      </c>
      <c r="AR43" s="63" t="e">
        <v>#REF!</v>
      </c>
      <c r="AS43" s="63" t="e">
        <v>#REF!</v>
      </c>
      <c r="AT43" s="63" t="e">
        <v>#REF!</v>
      </c>
      <c r="AU43" s="63" t="e">
        <v>#REF!</v>
      </c>
      <c r="AV43" s="63" t="e">
        <v>#REF!</v>
      </c>
      <c r="AX43" s="63" t="e">
        <v>#REF!</v>
      </c>
      <c r="AY43" s="63" t="e">
        <v>#REF!</v>
      </c>
      <c r="AZ43" s="63" t="e">
        <v>#REF!</v>
      </c>
      <c r="BA43" s="63" t="e">
        <v>#REF!</v>
      </c>
      <c r="BB43" s="63" t="e">
        <v>#REF!</v>
      </c>
      <c r="BC43" s="63" t="e">
        <v>#REF!</v>
      </c>
      <c r="BD43" s="63" t="e">
        <v>#REF!</v>
      </c>
      <c r="BE43" s="63" t="e">
        <v>#REF!</v>
      </c>
      <c r="BF43" s="63" t="e">
        <v>#REF!</v>
      </c>
      <c r="BG43" s="63" t="e">
        <v>#REF!</v>
      </c>
      <c r="BH43" s="63" t="e">
        <v>#REF!</v>
      </c>
      <c r="BI43" s="63" t="e">
        <v>#REF!</v>
      </c>
      <c r="BJ43" s="63" t="e">
        <v>#REF!</v>
      </c>
      <c r="BK43" s="63" t="e">
        <v>#REF!</v>
      </c>
    </row>
    <row r="44" spans="2:63">
      <c r="B44" s="92" t="e">
        <v>#REF!</v>
      </c>
      <c r="C44" s="92" t="e">
        <v>#REF!</v>
      </c>
      <c r="E44" s="92" t="e">
        <v>#REF!</v>
      </c>
      <c r="F44" s="92" t="e">
        <v>#REF!</v>
      </c>
      <c r="M44" s="63" t="e">
        <v>#REF!</v>
      </c>
      <c r="N44" s="63" t="e">
        <v>#REF!</v>
      </c>
      <c r="O44" s="63" t="e">
        <v>#REF!</v>
      </c>
      <c r="P44" s="63" t="e">
        <v>#REF!</v>
      </c>
      <c r="Q44" s="63" t="e">
        <v>#REF!</v>
      </c>
      <c r="R44" s="63" t="e">
        <v>#REF!</v>
      </c>
      <c r="S44" s="63" t="e">
        <v>#REF!</v>
      </c>
      <c r="T44" s="63" t="e">
        <v>#REF!</v>
      </c>
      <c r="U44" s="63" t="e">
        <v>#REF!</v>
      </c>
      <c r="V44" s="63" t="e">
        <v>#REF!</v>
      </c>
      <c r="W44" s="63" t="e">
        <v>#REF!</v>
      </c>
      <c r="X44" s="63" t="e">
        <v>#REF!</v>
      </c>
      <c r="Y44" s="63" t="e">
        <v>#REF!</v>
      </c>
      <c r="Z44" s="63" t="e">
        <v>#REF!</v>
      </c>
      <c r="AA44" s="63" t="e">
        <v>#REF!</v>
      </c>
      <c r="AB44" s="63" t="e">
        <v>#REF!</v>
      </c>
      <c r="AC44" s="63" t="e">
        <v>#REF!</v>
      </c>
      <c r="AD44" s="63" t="e">
        <v>#REF!</v>
      </c>
      <c r="AE44" s="63" t="e">
        <v>#REF!</v>
      </c>
      <c r="AF44" s="63" t="e">
        <v>#REF!</v>
      </c>
      <c r="AH44" s="63" t="e">
        <v>#REF!</v>
      </c>
      <c r="AI44" s="63" t="e">
        <v>#REF!</v>
      </c>
      <c r="AJ44" s="63" t="e">
        <v>#REF!</v>
      </c>
      <c r="AK44" s="63" t="e">
        <v>#REF!</v>
      </c>
      <c r="AL44" s="63" t="e">
        <v>#REF!</v>
      </c>
      <c r="AM44" s="63" t="e">
        <v>#REF!</v>
      </c>
      <c r="AN44" s="63" t="e">
        <v>#REF!</v>
      </c>
      <c r="AO44" s="63" t="e">
        <v>#REF!</v>
      </c>
      <c r="AP44" s="63" t="e">
        <v>#REF!</v>
      </c>
      <c r="AQ44" s="63" t="e">
        <v>#REF!</v>
      </c>
      <c r="AR44" s="63" t="e">
        <v>#REF!</v>
      </c>
      <c r="AS44" s="63" t="e">
        <v>#REF!</v>
      </c>
      <c r="AT44" s="63" t="e">
        <v>#REF!</v>
      </c>
      <c r="AU44" s="63" t="e">
        <v>#REF!</v>
      </c>
      <c r="AV44" s="63" t="e">
        <v>#REF!</v>
      </c>
      <c r="AX44" s="63" t="e">
        <v>#REF!</v>
      </c>
      <c r="AY44" s="63" t="e">
        <v>#REF!</v>
      </c>
      <c r="AZ44" s="63" t="e">
        <v>#REF!</v>
      </c>
      <c r="BA44" s="63" t="e">
        <v>#REF!</v>
      </c>
      <c r="BB44" s="63" t="e">
        <v>#REF!</v>
      </c>
      <c r="BC44" s="63" t="e">
        <v>#REF!</v>
      </c>
      <c r="BD44" s="63" t="e">
        <v>#REF!</v>
      </c>
      <c r="BE44" s="63" t="e">
        <v>#REF!</v>
      </c>
      <c r="BF44" s="63" t="e">
        <v>#REF!</v>
      </c>
      <c r="BG44" s="63" t="e">
        <v>#REF!</v>
      </c>
      <c r="BH44" s="63" t="e">
        <v>#REF!</v>
      </c>
      <c r="BI44" s="63" t="e">
        <v>#REF!</v>
      </c>
      <c r="BJ44" s="63" t="e">
        <v>#REF!</v>
      </c>
      <c r="BK44" s="63" t="e">
        <v>#REF!</v>
      </c>
    </row>
    <row r="45" spans="2:63">
      <c r="B45" s="92" t="e">
        <v>#REF!</v>
      </c>
      <c r="C45" s="92" t="e">
        <v>#REF!</v>
      </c>
      <c r="E45" s="92" t="e">
        <v>#REF!</v>
      </c>
      <c r="F45" s="92" t="e">
        <v>#REF!</v>
      </c>
      <c r="M45" s="63" t="e">
        <v>#REF!</v>
      </c>
      <c r="N45" s="63" t="e">
        <v>#REF!</v>
      </c>
      <c r="O45" s="63" t="e">
        <v>#REF!</v>
      </c>
      <c r="P45" s="63" t="e">
        <v>#REF!</v>
      </c>
      <c r="Q45" s="63" t="e">
        <v>#REF!</v>
      </c>
      <c r="R45" s="63" t="e">
        <v>#REF!</v>
      </c>
      <c r="S45" s="63" t="e">
        <v>#REF!</v>
      </c>
      <c r="T45" s="63" t="e">
        <v>#REF!</v>
      </c>
      <c r="U45" s="63" t="e">
        <v>#REF!</v>
      </c>
      <c r="V45" s="63" t="e">
        <v>#REF!</v>
      </c>
      <c r="W45" s="63" t="e">
        <v>#REF!</v>
      </c>
      <c r="X45" s="63" t="e">
        <v>#REF!</v>
      </c>
      <c r="Y45" s="63" t="e">
        <v>#REF!</v>
      </c>
      <c r="Z45" s="63" t="e">
        <v>#REF!</v>
      </c>
      <c r="AA45" s="63" t="e">
        <v>#REF!</v>
      </c>
      <c r="AB45" s="63" t="e">
        <v>#REF!</v>
      </c>
      <c r="AC45" s="63" t="e">
        <v>#REF!</v>
      </c>
      <c r="AD45" s="63" t="e">
        <v>#REF!</v>
      </c>
      <c r="AE45" s="63" t="e">
        <v>#REF!</v>
      </c>
      <c r="AF45" s="63" t="e">
        <v>#REF!</v>
      </c>
      <c r="AH45" s="63" t="e">
        <v>#REF!</v>
      </c>
      <c r="AI45" s="63" t="e">
        <v>#REF!</v>
      </c>
      <c r="AJ45" s="63" t="e">
        <v>#REF!</v>
      </c>
      <c r="AK45" s="63" t="e">
        <v>#REF!</v>
      </c>
      <c r="AL45" s="63" t="e">
        <v>#REF!</v>
      </c>
      <c r="AM45" s="63" t="e">
        <v>#REF!</v>
      </c>
      <c r="AN45" s="63" t="e">
        <v>#REF!</v>
      </c>
      <c r="AO45" s="63" t="e">
        <v>#REF!</v>
      </c>
      <c r="AP45" s="63" t="e">
        <v>#REF!</v>
      </c>
      <c r="AQ45" s="63" t="e">
        <v>#REF!</v>
      </c>
      <c r="AR45" s="63" t="e">
        <v>#REF!</v>
      </c>
      <c r="AS45" s="63" t="e">
        <v>#REF!</v>
      </c>
      <c r="AT45" s="63" t="e">
        <v>#REF!</v>
      </c>
      <c r="AU45" s="63" t="e">
        <v>#REF!</v>
      </c>
      <c r="AV45" s="63" t="e">
        <v>#REF!</v>
      </c>
      <c r="AX45" s="63" t="e">
        <v>#REF!</v>
      </c>
      <c r="AY45" s="63" t="e">
        <v>#REF!</v>
      </c>
      <c r="AZ45" s="63" t="e">
        <v>#REF!</v>
      </c>
      <c r="BA45" s="63" t="e">
        <v>#REF!</v>
      </c>
      <c r="BB45" s="63" t="e">
        <v>#REF!</v>
      </c>
      <c r="BC45" s="63" t="e">
        <v>#REF!</v>
      </c>
      <c r="BD45" s="63" t="e">
        <v>#REF!</v>
      </c>
      <c r="BE45" s="63" t="e">
        <v>#REF!</v>
      </c>
      <c r="BF45" s="63" t="e">
        <v>#REF!</v>
      </c>
      <c r="BG45" s="63" t="e">
        <v>#REF!</v>
      </c>
      <c r="BH45" s="63" t="e">
        <v>#REF!</v>
      </c>
      <c r="BI45" s="63" t="e">
        <v>#REF!</v>
      </c>
      <c r="BJ45" s="63" t="e">
        <v>#REF!</v>
      </c>
      <c r="BK45" s="63" t="e">
        <v>#REF!</v>
      </c>
    </row>
    <row r="46" spans="2:63">
      <c r="B46" s="92" t="e">
        <v>#REF!</v>
      </c>
      <c r="C46" s="92" t="e">
        <v>#REF!</v>
      </c>
      <c r="E46" s="92" t="e">
        <v>#REF!</v>
      </c>
      <c r="F46" s="92" t="e">
        <v>#REF!</v>
      </c>
      <c r="M46" s="63" t="e">
        <v>#REF!</v>
      </c>
      <c r="N46" s="63" t="e">
        <v>#REF!</v>
      </c>
      <c r="O46" s="63" t="e">
        <v>#REF!</v>
      </c>
      <c r="P46" s="63" t="e">
        <v>#REF!</v>
      </c>
      <c r="Q46" s="63" t="e">
        <v>#REF!</v>
      </c>
      <c r="R46" s="63" t="e">
        <v>#REF!</v>
      </c>
      <c r="S46" s="63" t="e">
        <v>#REF!</v>
      </c>
      <c r="T46" s="63" t="e">
        <v>#REF!</v>
      </c>
      <c r="U46" s="63" t="e">
        <v>#REF!</v>
      </c>
      <c r="V46" s="63" t="e">
        <v>#REF!</v>
      </c>
      <c r="W46" s="63" t="e">
        <v>#REF!</v>
      </c>
      <c r="X46" s="63" t="e">
        <v>#REF!</v>
      </c>
      <c r="Y46" s="63" t="e">
        <v>#REF!</v>
      </c>
      <c r="Z46" s="63" t="e">
        <v>#REF!</v>
      </c>
      <c r="AA46" s="63" t="e">
        <v>#REF!</v>
      </c>
      <c r="AB46" s="63" t="e">
        <v>#REF!</v>
      </c>
      <c r="AC46" s="63" t="e">
        <v>#REF!</v>
      </c>
      <c r="AD46" s="63" t="e">
        <v>#REF!</v>
      </c>
      <c r="AE46" s="63" t="e">
        <v>#REF!</v>
      </c>
      <c r="AF46" s="63" t="e">
        <v>#REF!</v>
      </c>
      <c r="AH46" s="63" t="e">
        <v>#REF!</v>
      </c>
      <c r="AI46" s="63" t="e">
        <v>#REF!</v>
      </c>
      <c r="AJ46" s="63" t="e">
        <v>#REF!</v>
      </c>
      <c r="AK46" s="63" t="e">
        <v>#REF!</v>
      </c>
      <c r="AL46" s="63" t="e">
        <v>#REF!</v>
      </c>
      <c r="AM46" s="63" t="e">
        <v>#REF!</v>
      </c>
      <c r="AN46" s="63" t="e">
        <v>#REF!</v>
      </c>
      <c r="AO46" s="63" t="e">
        <v>#REF!</v>
      </c>
      <c r="AP46" s="63" t="e">
        <v>#REF!</v>
      </c>
      <c r="AQ46" s="63" t="e">
        <v>#REF!</v>
      </c>
      <c r="AR46" s="63" t="e">
        <v>#REF!</v>
      </c>
      <c r="AS46" s="63" t="e">
        <v>#REF!</v>
      </c>
      <c r="AT46" s="63" t="e">
        <v>#REF!</v>
      </c>
      <c r="AU46" s="63" t="e">
        <v>#REF!</v>
      </c>
      <c r="AV46" s="63" t="e">
        <v>#REF!</v>
      </c>
      <c r="AX46" s="63" t="e">
        <v>#REF!</v>
      </c>
      <c r="AY46" s="63" t="e">
        <v>#REF!</v>
      </c>
      <c r="AZ46" s="63" t="e">
        <v>#REF!</v>
      </c>
      <c r="BA46" s="63" t="e">
        <v>#REF!</v>
      </c>
      <c r="BB46" s="63" t="e">
        <v>#REF!</v>
      </c>
      <c r="BC46" s="63" t="e">
        <v>#REF!</v>
      </c>
      <c r="BD46" s="63" t="e">
        <v>#REF!</v>
      </c>
      <c r="BE46" s="63" t="e">
        <v>#REF!</v>
      </c>
      <c r="BF46" s="63" t="e">
        <v>#REF!</v>
      </c>
      <c r="BG46" s="63" t="e">
        <v>#REF!</v>
      </c>
      <c r="BH46" s="63" t="e">
        <v>#REF!</v>
      </c>
      <c r="BI46" s="63" t="e">
        <v>#REF!</v>
      </c>
      <c r="BJ46" s="63" t="e">
        <v>#REF!</v>
      </c>
      <c r="BK46" s="63" t="e">
        <v>#REF!</v>
      </c>
    </row>
    <row r="47" spans="2:63">
      <c r="B47" s="92" t="e">
        <v>#REF!</v>
      </c>
      <c r="C47" s="92" t="e">
        <v>#REF!</v>
      </c>
      <c r="E47" s="92" t="e">
        <v>#REF!</v>
      </c>
      <c r="F47" s="92" t="e">
        <v>#REF!</v>
      </c>
      <c r="M47" s="63" t="e">
        <v>#REF!</v>
      </c>
      <c r="N47" s="63" t="e">
        <v>#REF!</v>
      </c>
      <c r="O47" s="63" t="e">
        <v>#REF!</v>
      </c>
      <c r="P47" s="63" t="e">
        <v>#REF!</v>
      </c>
      <c r="Q47" s="63" t="e">
        <v>#REF!</v>
      </c>
      <c r="R47" s="63" t="e">
        <v>#REF!</v>
      </c>
      <c r="S47" s="63" t="e">
        <v>#REF!</v>
      </c>
      <c r="T47" s="63" t="e">
        <v>#REF!</v>
      </c>
      <c r="U47" s="63" t="e">
        <v>#REF!</v>
      </c>
      <c r="V47" s="63" t="e">
        <v>#REF!</v>
      </c>
      <c r="W47" s="63" t="e">
        <v>#REF!</v>
      </c>
      <c r="X47" s="63" t="e">
        <v>#REF!</v>
      </c>
      <c r="Y47" s="63" t="e">
        <v>#REF!</v>
      </c>
      <c r="Z47" s="63" t="e">
        <v>#REF!</v>
      </c>
      <c r="AA47" s="63" t="e">
        <v>#REF!</v>
      </c>
      <c r="AB47" s="63" t="e">
        <v>#REF!</v>
      </c>
      <c r="AC47" s="63" t="e">
        <v>#REF!</v>
      </c>
      <c r="AD47" s="63" t="e">
        <v>#REF!</v>
      </c>
      <c r="AE47" s="63" t="e">
        <v>#REF!</v>
      </c>
      <c r="AF47" s="63" t="e">
        <v>#REF!</v>
      </c>
      <c r="AH47" s="63" t="e">
        <v>#REF!</v>
      </c>
      <c r="AI47" s="63" t="e">
        <v>#REF!</v>
      </c>
      <c r="AJ47" s="63" t="e">
        <v>#REF!</v>
      </c>
      <c r="AK47" s="63" t="e">
        <v>#REF!</v>
      </c>
      <c r="AL47" s="63" t="e">
        <v>#REF!</v>
      </c>
      <c r="AM47" s="63" t="e">
        <v>#REF!</v>
      </c>
      <c r="AN47" s="63" t="e">
        <v>#REF!</v>
      </c>
      <c r="AO47" s="63" t="e">
        <v>#REF!</v>
      </c>
      <c r="AP47" s="63" t="e">
        <v>#REF!</v>
      </c>
      <c r="AQ47" s="63" t="e">
        <v>#REF!</v>
      </c>
      <c r="AR47" s="63" t="e">
        <v>#REF!</v>
      </c>
      <c r="AS47" s="63" t="e">
        <v>#REF!</v>
      </c>
      <c r="AT47" s="63" t="e">
        <v>#REF!</v>
      </c>
      <c r="AU47" s="63" t="e">
        <v>#REF!</v>
      </c>
      <c r="AV47" s="63" t="e">
        <v>#REF!</v>
      </c>
      <c r="AX47" s="63" t="e">
        <v>#REF!</v>
      </c>
      <c r="AY47" s="63" t="e">
        <v>#REF!</v>
      </c>
      <c r="AZ47" s="63" t="e">
        <v>#REF!</v>
      </c>
      <c r="BA47" s="63" t="e">
        <v>#REF!</v>
      </c>
      <c r="BB47" s="63" t="e">
        <v>#REF!</v>
      </c>
      <c r="BC47" s="63" t="e">
        <v>#REF!</v>
      </c>
      <c r="BD47" s="63" t="e">
        <v>#REF!</v>
      </c>
      <c r="BE47" s="63" t="e">
        <v>#REF!</v>
      </c>
      <c r="BF47" s="63" t="e">
        <v>#REF!</v>
      </c>
      <c r="BG47" s="63" t="e">
        <v>#REF!</v>
      </c>
      <c r="BH47" s="63" t="e">
        <v>#REF!</v>
      </c>
      <c r="BI47" s="63" t="e">
        <v>#REF!</v>
      </c>
      <c r="BJ47" s="63" t="e">
        <v>#REF!</v>
      </c>
      <c r="BK47" s="63" t="e">
        <v>#REF!</v>
      </c>
    </row>
    <row r="48" spans="2:63">
      <c r="B48" s="92" t="e">
        <v>#REF!</v>
      </c>
      <c r="C48" s="92" t="e">
        <v>#REF!</v>
      </c>
      <c r="E48" s="92" t="e">
        <v>#REF!</v>
      </c>
      <c r="F48" s="92" t="e">
        <v>#REF!</v>
      </c>
      <c r="M48" s="63" t="e">
        <v>#REF!</v>
      </c>
      <c r="N48" s="63" t="e">
        <v>#REF!</v>
      </c>
      <c r="O48" s="63" t="e">
        <v>#REF!</v>
      </c>
      <c r="P48" s="63" t="e">
        <v>#REF!</v>
      </c>
      <c r="Q48" s="63" t="e">
        <v>#REF!</v>
      </c>
      <c r="R48" s="63" t="e">
        <v>#REF!</v>
      </c>
      <c r="S48" s="63" t="e">
        <v>#REF!</v>
      </c>
      <c r="T48" s="63" t="e">
        <v>#REF!</v>
      </c>
      <c r="U48" s="63" t="e">
        <v>#REF!</v>
      </c>
      <c r="V48" s="63" t="e">
        <v>#REF!</v>
      </c>
      <c r="W48" s="63" t="e">
        <v>#REF!</v>
      </c>
      <c r="X48" s="63" t="e">
        <v>#REF!</v>
      </c>
      <c r="Y48" s="63" t="e">
        <v>#REF!</v>
      </c>
      <c r="Z48" s="63" t="e">
        <v>#REF!</v>
      </c>
      <c r="AA48" s="63" t="e">
        <v>#REF!</v>
      </c>
      <c r="AB48" s="63" t="e">
        <v>#REF!</v>
      </c>
      <c r="AC48" s="63" t="e">
        <v>#REF!</v>
      </c>
      <c r="AD48" s="63" t="e">
        <v>#REF!</v>
      </c>
      <c r="AE48" s="63" t="e">
        <v>#REF!</v>
      </c>
      <c r="AF48" s="63" t="e">
        <v>#REF!</v>
      </c>
      <c r="AH48" s="63" t="e">
        <v>#REF!</v>
      </c>
      <c r="AI48" s="63" t="e">
        <v>#REF!</v>
      </c>
      <c r="AJ48" s="63" t="e">
        <v>#REF!</v>
      </c>
      <c r="AK48" s="63" t="e">
        <v>#REF!</v>
      </c>
      <c r="AL48" s="63" t="e">
        <v>#REF!</v>
      </c>
      <c r="AM48" s="63" t="e">
        <v>#REF!</v>
      </c>
      <c r="AN48" s="63" t="e">
        <v>#REF!</v>
      </c>
      <c r="AO48" s="63" t="e">
        <v>#REF!</v>
      </c>
      <c r="AP48" s="63" t="e">
        <v>#REF!</v>
      </c>
      <c r="AQ48" s="63" t="e">
        <v>#REF!</v>
      </c>
      <c r="AR48" s="63" t="e">
        <v>#REF!</v>
      </c>
      <c r="AS48" s="63" t="e">
        <v>#REF!</v>
      </c>
      <c r="AT48" s="63" t="e">
        <v>#REF!</v>
      </c>
      <c r="AU48" s="63" t="e">
        <v>#REF!</v>
      </c>
      <c r="AV48" s="63" t="e">
        <v>#REF!</v>
      </c>
      <c r="AX48" s="63" t="e">
        <v>#REF!</v>
      </c>
      <c r="AY48" s="63" t="e">
        <v>#REF!</v>
      </c>
      <c r="AZ48" s="63" t="e">
        <v>#REF!</v>
      </c>
      <c r="BA48" s="63" t="e">
        <v>#REF!</v>
      </c>
      <c r="BB48" s="63" t="e">
        <v>#REF!</v>
      </c>
      <c r="BC48" s="63" t="e">
        <v>#REF!</v>
      </c>
      <c r="BD48" s="63" t="e">
        <v>#REF!</v>
      </c>
      <c r="BE48" s="63" t="e">
        <v>#REF!</v>
      </c>
      <c r="BF48" s="63" t="e">
        <v>#REF!</v>
      </c>
      <c r="BG48" s="63" t="e">
        <v>#REF!</v>
      </c>
      <c r="BH48" s="63" t="e">
        <v>#REF!</v>
      </c>
      <c r="BI48" s="63" t="e">
        <v>#REF!</v>
      </c>
      <c r="BJ48" s="63" t="e">
        <v>#REF!</v>
      </c>
      <c r="BK48" s="63" t="e">
        <v>#REF!</v>
      </c>
    </row>
    <row r="49" spans="2:63">
      <c r="B49" s="92" t="e">
        <v>#REF!</v>
      </c>
      <c r="C49" s="92" t="e">
        <v>#REF!</v>
      </c>
      <c r="E49" s="92" t="e">
        <v>#REF!</v>
      </c>
      <c r="F49" s="92" t="e">
        <v>#REF!</v>
      </c>
      <c r="M49" s="63" t="e">
        <v>#REF!</v>
      </c>
      <c r="N49" s="63" t="e">
        <v>#REF!</v>
      </c>
      <c r="O49" s="63" t="e">
        <v>#REF!</v>
      </c>
      <c r="P49" s="63" t="e">
        <v>#REF!</v>
      </c>
      <c r="Q49" s="63" t="e">
        <v>#REF!</v>
      </c>
      <c r="R49" s="63" t="e">
        <v>#REF!</v>
      </c>
      <c r="S49" s="63" t="e">
        <v>#REF!</v>
      </c>
      <c r="T49" s="63" t="e">
        <v>#REF!</v>
      </c>
      <c r="U49" s="63" t="e">
        <v>#REF!</v>
      </c>
      <c r="V49" s="63" t="e">
        <v>#REF!</v>
      </c>
      <c r="W49" s="63" t="e">
        <v>#REF!</v>
      </c>
      <c r="X49" s="63" t="e">
        <v>#REF!</v>
      </c>
      <c r="Y49" s="63" t="e">
        <v>#REF!</v>
      </c>
      <c r="Z49" s="63" t="e">
        <v>#REF!</v>
      </c>
      <c r="AA49" s="63" t="e">
        <v>#REF!</v>
      </c>
      <c r="AB49" s="63" t="e">
        <v>#REF!</v>
      </c>
      <c r="AC49" s="63" t="e">
        <v>#REF!</v>
      </c>
      <c r="AD49" s="63" t="e">
        <v>#REF!</v>
      </c>
      <c r="AE49" s="63" t="e">
        <v>#REF!</v>
      </c>
      <c r="AF49" s="63" t="e">
        <v>#REF!</v>
      </c>
      <c r="AH49" s="63" t="e">
        <v>#REF!</v>
      </c>
      <c r="AI49" s="63" t="e">
        <v>#REF!</v>
      </c>
      <c r="AJ49" s="63" t="e">
        <v>#REF!</v>
      </c>
      <c r="AK49" s="63" t="e">
        <v>#REF!</v>
      </c>
      <c r="AL49" s="63" t="e">
        <v>#REF!</v>
      </c>
      <c r="AM49" s="63" t="e">
        <v>#REF!</v>
      </c>
      <c r="AN49" s="63" t="e">
        <v>#REF!</v>
      </c>
      <c r="AO49" s="63" t="e">
        <v>#REF!</v>
      </c>
      <c r="AP49" s="63" t="e">
        <v>#REF!</v>
      </c>
      <c r="AQ49" s="63" t="e">
        <v>#REF!</v>
      </c>
      <c r="AR49" s="63" t="e">
        <v>#REF!</v>
      </c>
      <c r="AS49" s="63" t="e">
        <v>#REF!</v>
      </c>
      <c r="AT49" s="63" t="e">
        <v>#REF!</v>
      </c>
      <c r="AU49" s="63" t="e">
        <v>#REF!</v>
      </c>
      <c r="AV49" s="63" t="e">
        <v>#REF!</v>
      </c>
      <c r="AX49" s="63" t="e">
        <v>#REF!</v>
      </c>
      <c r="AY49" s="63" t="e">
        <v>#REF!</v>
      </c>
      <c r="AZ49" s="63" t="e">
        <v>#REF!</v>
      </c>
      <c r="BA49" s="63" t="e">
        <v>#REF!</v>
      </c>
      <c r="BB49" s="63" t="e">
        <v>#REF!</v>
      </c>
      <c r="BC49" s="63" t="e">
        <v>#REF!</v>
      </c>
      <c r="BD49" s="63" t="e">
        <v>#REF!</v>
      </c>
      <c r="BE49" s="63" t="e">
        <v>#REF!</v>
      </c>
      <c r="BF49" s="63" t="e">
        <v>#REF!</v>
      </c>
      <c r="BG49" s="63" t="e">
        <v>#REF!</v>
      </c>
      <c r="BH49" s="63" t="e">
        <v>#REF!</v>
      </c>
      <c r="BI49" s="63" t="e">
        <v>#REF!</v>
      </c>
      <c r="BJ49" s="63" t="e">
        <v>#REF!</v>
      </c>
      <c r="BK49" s="63" t="e">
        <v>#REF!</v>
      </c>
    </row>
    <row r="50" spans="2:63">
      <c r="B50" s="92" t="e">
        <v>#REF!</v>
      </c>
      <c r="C50" s="92" t="e">
        <v>#REF!</v>
      </c>
      <c r="E50" s="92" t="e">
        <v>#REF!</v>
      </c>
      <c r="F50" s="92" t="e">
        <v>#REF!</v>
      </c>
      <c r="M50" s="63" t="e">
        <v>#REF!</v>
      </c>
      <c r="N50" s="63" t="e">
        <v>#REF!</v>
      </c>
      <c r="O50" s="63" t="e">
        <v>#REF!</v>
      </c>
      <c r="P50" s="63" t="e">
        <v>#REF!</v>
      </c>
      <c r="Q50" s="63" t="e">
        <v>#REF!</v>
      </c>
      <c r="R50" s="63" t="e">
        <v>#REF!</v>
      </c>
      <c r="S50" s="63" t="e">
        <v>#REF!</v>
      </c>
      <c r="T50" s="63" t="e">
        <v>#REF!</v>
      </c>
      <c r="U50" s="63" t="e">
        <v>#REF!</v>
      </c>
      <c r="V50" s="63" t="e">
        <v>#REF!</v>
      </c>
      <c r="W50" s="63" t="e">
        <v>#REF!</v>
      </c>
      <c r="X50" s="63" t="e">
        <v>#REF!</v>
      </c>
      <c r="Y50" s="63" t="e">
        <v>#REF!</v>
      </c>
      <c r="Z50" s="63" t="e">
        <v>#REF!</v>
      </c>
      <c r="AA50" s="63" t="e">
        <v>#REF!</v>
      </c>
      <c r="AB50" s="63" t="e">
        <v>#REF!</v>
      </c>
      <c r="AC50" s="63" t="e">
        <v>#REF!</v>
      </c>
      <c r="AD50" s="63" t="e">
        <v>#REF!</v>
      </c>
      <c r="AE50" s="63" t="e">
        <v>#REF!</v>
      </c>
      <c r="AF50" s="63" t="e">
        <v>#REF!</v>
      </c>
      <c r="AH50" s="63" t="e">
        <v>#REF!</v>
      </c>
      <c r="AI50" s="63" t="e">
        <v>#REF!</v>
      </c>
      <c r="AJ50" s="63" t="e">
        <v>#REF!</v>
      </c>
      <c r="AK50" s="63" t="e">
        <v>#REF!</v>
      </c>
      <c r="AL50" s="63" t="e">
        <v>#REF!</v>
      </c>
      <c r="AM50" s="63" t="e">
        <v>#REF!</v>
      </c>
      <c r="AN50" s="63" t="e">
        <v>#REF!</v>
      </c>
      <c r="AO50" s="63" t="e">
        <v>#REF!</v>
      </c>
      <c r="AP50" s="63" t="e">
        <v>#REF!</v>
      </c>
      <c r="AQ50" s="63" t="e">
        <v>#REF!</v>
      </c>
      <c r="AR50" s="63" t="e">
        <v>#REF!</v>
      </c>
      <c r="AS50" s="63" t="e">
        <v>#REF!</v>
      </c>
      <c r="AT50" s="63" t="e">
        <v>#REF!</v>
      </c>
      <c r="AU50" s="63" t="e">
        <v>#REF!</v>
      </c>
      <c r="AV50" s="63" t="e">
        <v>#REF!</v>
      </c>
      <c r="AX50" s="63" t="e">
        <v>#REF!</v>
      </c>
      <c r="AY50" s="63" t="e">
        <v>#REF!</v>
      </c>
      <c r="AZ50" s="63" t="e">
        <v>#REF!</v>
      </c>
      <c r="BA50" s="63" t="e">
        <v>#REF!</v>
      </c>
      <c r="BB50" s="63" t="e">
        <v>#REF!</v>
      </c>
      <c r="BC50" s="63" t="e">
        <v>#REF!</v>
      </c>
      <c r="BD50" s="63" t="e">
        <v>#REF!</v>
      </c>
      <c r="BE50" s="63" t="e">
        <v>#REF!</v>
      </c>
      <c r="BF50" s="63" t="e">
        <v>#REF!</v>
      </c>
      <c r="BG50" s="63" t="e">
        <v>#REF!</v>
      </c>
      <c r="BH50" s="63" t="e">
        <v>#REF!</v>
      </c>
      <c r="BI50" s="63" t="e">
        <v>#REF!</v>
      </c>
      <c r="BJ50" s="63" t="e">
        <v>#REF!</v>
      </c>
      <c r="BK50" s="63" t="e">
        <v>#REF!</v>
      </c>
    </row>
    <row r="51" spans="2:63">
      <c r="B51" s="92" t="e">
        <v>#REF!</v>
      </c>
      <c r="C51" s="92" t="e">
        <v>#REF!</v>
      </c>
      <c r="E51" s="92" t="e">
        <v>#REF!</v>
      </c>
      <c r="F51" s="92" t="e">
        <v>#REF!</v>
      </c>
      <c r="M51" s="63" t="e">
        <v>#REF!</v>
      </c>
      <c r="N51" s="63" t="e">
        <v>#REF!</v>
      </c>
      <c r="O51" s="63" t="e">
        <v>#REF!</v>
      </c>
      <c r="P51" s="63" t="e">
        <v>#REF!</v>
      </c>
      <c r="Q51" s="63" t="e">
        <v>#REF!</v>
      </c>
      <c r="R51" s="63" t="e">
        <v>#REF!</v>
      </c>
      <c r="S51" s="63" t="e">
        <v>#REF!</v>
      </c>
      <c r="T51" s="63" t="e">
        <v>#REF!</v>
      </c>
      <c r="U51" s="63" t="e">
        <v>#REF!</v>
      </c>
      <c r="V51" s="63" t="e">
        <v>#REF!</v>
      </c>
      <c r="W51" s="63" t="e">
        <v>#REF!</v>
      </c>
      <c r="X51" s="63" t="e">
        <v>#REF!</v>
      </c>
      <c r="Y51" s="63" t="e">
        <v>#REF!</v>
      </c>
      <c r="Z51" s="63" t="e">
        <v>#REF!</v>
      </c>
      <c r="AA51" s="63" t="e">
        <v>#REF!</v>
      </c>
      <c r="AB51" s="63" t="e">
        <v>#REF!</v>
      </c>
      <c r="AC51" s="63" t="e">
        <v>#REF!</v>
      </c>
      <c r="AD51" s="63" t="e">
        <v>#REF!</v>
      </c>
      <c r="AE51" s="63" t="e">
        <v>#REF!</v>
      </c>
      <c r="AF51" s="63" t="e">
        <v>#REF!</v>
      </c>
      <c r="AH51" s="63" t="e">
        <v>#REF!</v>
      </c>
      <c r="AI51" s="63" t="e">
        <v>#REF!</v>
      </c>
      <c r="AJ51" s="63" t="e">
        <v>#REF!</v>
      </c>
      <c r="AK51" s="63" t="e">
        <v>#REF!</v>
      </c>
      <c r="AL51" s="63" t="e">
        <v>#REF!</v>
      </c>
      <c r="AM51" s="63" t="e">
        <v>#REF!</v>
      </c>
      <c r="AN51" s="63" t="e">
        <v>#REF!</v>
      </c>
      <c r="AO51" s="63" t="e">
        <v>#REF!</v>
      </c>
      <c r="AP51" s="63" t="e">
        <v>#REF!</v>
      </c>
      <c r="AQ51" s="63" t="e">
        <v>#REF!</v>
      </c>
      <c r="AR51" s="63" t="e">
        <v>#REF!</v>
      </c>
      <c r="AS51" s="63" t="e">
        <v>#REF!</v>
      </c>
      <c r="AT51" s="63" t="e">
        <v>#REF!</v>
      </c>
      <c r="AU51" s="63" t="e">
        <v>#REF!</v>
      </c>
      <c r="AV51" s="63" t="e">
        <v>#REF!</v>
      </c>
      <c r="AX51" s="63" t="e">
        <v>#REF!</v>
      </c>
      <c r="AY51" s="63" t="e">
        <v>#REF!</v>
      </c>
      <c r="AZ51" s="63" t="e">
        <v>#REF!</v>
      </c>
      <c r="BA51" s="63" t="e">
        <v>#REF!</v>
      </c>
      <c r="BB51" s="63" t="e">
        <v>#REF!</v>
      </c>
      <c r="BC51" s="63" t="e">
        <v>#REF!</v>
      </c>
      <c r="BD51" s="63" t="e">
        <v>#REF!</v>
      </c>
      <c r="BE51" s="63" t="e">
        <v>#REF!</v>
      </c>
      <c r="BF51" s="63" t="e">
        <v>#REF!</v>
      </c>
      <c r="BG51" s="63" t="e">
        <v>#REF!</v>
      </c>
      <c r="BH51" s="63" t="e">
        <v>#REF!</v>
      </c>
      <c r="BI51" s="63" t="e">
        <v>#REF!</v>
      </c>
      <c r="BJ51" s="63" t="e">
        <v>#REF!</v>
      </c>
      <c r="BK51" s="63" t="e">
        <v>#REF!</v>
      </c>
    </row>
    <row r="52" spans="2:63">
      <c r="B52" s="92" t="e">
        <v>#REF!</v>
      </c>
      <c r="C52" s="92" t="e">
        <v>#REF!</v>
      </c>
      <c r="E52" s="92" t="e">
        <v>#REF!</v>
      </c>
      <c r="F52" s="92" t="e">
        <v>#REF!</v>
      </c>
      <c r="M52" s="63" t="e">
        <v>#REF!</v>
      </c>
      <c r="N52" s="63" t="e">
        <v>#REF!</v>
      </c>
      <c r="O52" s="63" t="e">
        <v>#REF!</v>
      </c>
      <c r="P52" s="63" t="e">
        <v>#REF!</v>
      </c>
      <c r="Q52" s="63" t="e">
        <v>#REF!</v>
      </c>
      <c r="R52" s="63" t="e">
        <v>#REF!</v>
      </c>
      <c r="S52" s="63" t="e">
        <v>#REF!</v>
      </c>
      <c r="T52" s="63" t="e">
        <v>#REF!</v>
      </c>
      <c r="U52" s="63" t="e">
        <v>#REF!</v>
      </c>
      <c r="V52" s="63" t="e">
        <v>#REF!</v>
      </c>
      <c r="W52" s="63" t="e">
        <v>#REF!</v>
      </c>
      <c r="X52" s="63" t="e">
        <v>#REF!</v>
      </c>
      <c r="Y52" s="63" t="e">
        <v>#REF!</v>
      </c>
      <c r="Z52" s="63" t="e">
        <v>#REF!</v>
      </c>
      <c r="AA52" s="63" t="e">
        <v>#REF!</v>
      </c>
      <c r="AB52" s="63" t="e">
        <v>#REF!</v>
      </c>
      <c r="AC52" s="63" t="e">
        <v>#REF!</v>
      </c>
      <c r="AD52" s="63" t="e">
        <v>#REF!</v>
      </c>
      <c r="AE52" s="63" t="e">
        <v>#REF!</v>
      </c>
      <c r="AF52" s="63" t="e">
        <v>#REF!</v>
      </c>
      <c r="AH52" s="63" t="e">
        <v>#REF!</v>
      </c>
      <c r="AI52" s="63" t="e">
        <v>#REF!</v>
      </c>
      <c r="AJ52" s="63" t="e">
        <v>#REF!</v>
      </c>
      <c r="AK52" s="63" t="e">
        <v>#REF!</v>
      </c>
      <c r="AL52" s="63" t="e">
        <v>#REF!</v>
      </c>
      <c r="AM52" s="63" t="e">
        <v>#REF!</v>
      </c>
      <c r="AN52" s="63" t="e">
        <v>#REF!</v>
      </c>
      <c r="AO52" s="63" t="e">
        <v>#REF!</v>
      </c>
      <c r="AP52" s="63" t="e">
        <v>#REF!</v>
      </c>
      <c r="AQ52" s="63" t="e">
        <v>#REF!</v>
      </c>
      <c r="AR52" s="63" t="e">
        <v>#REF!</v>
      </c>
      <c r="AS52" s="63" t="e">
        <v>#REF!</v>
      </c>
      <c r="AT52" s="63" t="e">
        <v>#REF!</v>
      </c>
      <c r="AU52" s="63" t="e">
        <v>#REF!</v>
      </c>
      <c r="AV52" s="63" t="e">
        <v>#REF!</v>
      </c>
      <c r="AX52" s="63" t="e">
        <v>#REF!</v>
      </c>
      <c r="AY52" s="63" t="e">
        <v>#REF!</v>
      </c>
      <c r="AZ52" s="63" t="e">
        <v>#REF!</v>
      </c>
      <c r="BA52" s="63" t="e">
        <v>#REF!</v>
      </c>
      <c r="BB52" s="63" t="e">
        <v>#REF!</v>
      </c>
      <c r="BC52" s="63" t="e">
        <v>#REF!</v>
      </c>
      <c r="BD52" s="63" t="e">
        <v>#REF!</v>
      </c>
      <c r="BE52" s="63" t="e">
        <v>#REF!</v>
      </c>
      <c r="BF52" s="63" t="e">
        <v>#REF!</v>
      </c>
      <c r="BG52" s="63" t="e">
        <v>#REF!</v>
      </c>
      <c r="BH52" s="63" t="e">
        <v>#REF!</v>
      </c>
      <c r="BI52" s="63" t="e">
        <v>#REF!</v>
      </c>
      <c r="BJ52" s="63" t="e">
        <v>#REF!</v>
      </c>
      <c r="BK52" s="63" t="e">
        <v>#REF!</v>
      </c>
    </row>
    <row r="53" spans="2:63">
      <c r="B53" s="92" t="e">
        <v>#REF!</v>
      </c>
      <c r="C53" s="92" t="e">
        <v>#REF!</v>
      </c>
      <c r="E53" s="92" t="e">
        <v>#REF!</v>
      </c>
      <c r="F53" s="92" t="e">
        <v>#REF!</v>
      </c>
      <c r="M53" s="63" t="e">
        <v>#REF!</v>
      </c>
      <c r="N53" s="63" t="e">
        <v>#REF!</v>
      </c>
      <c r="O53" s="63" t="e">
        <v>#REF!</v>
      </c>
      <c r="P53" s="63" t="e">
        <v>#REF!</v>
      </c>
      <c r="Q53" s="63" t="e">
        <v>#REF!</v>
      </c>
      <c r="R53" s="63" t="e">
        <v>#REF!</v>
      </c>
      <c r="S53" s="63" t="e">
        <v>#REF!</v>
      </c>
      <c r="T53" s="63" t="e">
        <v>#REF!</v>
      </c>
      <c r="U53" s="63" t="e">
        <v>#REF!</v>
      </c>
      <c r="V53" s="63" t="e">
        <v>#REF!</v>
      </c>
      <c r="W53" s="63" t="e">
        <v>#REF!</v>
      </c>
      <c r="X53" s="63" t="e">
        <v>#REF!</v>
      </c>
      <c r="Y53" s="63" t="e">
        <v>#REF!</v>
      </c>
      <c r="Z53" s="63" t="e">
        <v>#REF!</v>
      </c>
      <c r="AA53" s="63" t="e">
        <v>#REF!</v>
      </c>
      <c r="AB53" s="63" t="e">
        <v>#REF!</v>
      </c>
      <c r="AC53" s="63" t="e">
        <v>#REF!</v>
      </c>
      <c r="AD53" s="63" t="e">
        <v>#REF!</v>
      </c>
      <c r="AE53" s="63" t="e">
        <v>#REF!</v>
      </c>
      <c r="AF53" s="63" t="e">
        <v>#REF!</v>
      </c>
      <c r="AH53" s="63" t="e">
        <v>#REF!</v>
      </c>
      <c r="AI53" s="63" t="e">
        <v>#REF!</v>
      </c>
      <c r="AJ53" s="63" t="e">
        <v>#REF!</v>
      </c>
      <c r="AK53" s="63" t="e">
        <v>#REF!</v>
      </c>
      <c r="AL53" s="63" t="e">
        <v>#REF!</v>
      </c>
      <c r="AM53" s="63" t="e">
        <v>#REF!</v>
      </c>
      <c r="AN53" s="63" t="e">
        <v>#REF!</v>
      </c>
      <c r="AO53" s="63" t="e">
        <v>#REF!</v>
      </c>
      <c r="AP53" s="63" t="e">
        <v>#REF!</v>
      </c>
      <c r="AQ53" s="63" t="e">
        <v>#REF!</v>
      </c>
      <c r="AR53" s="63" t="e">
        <v>#REF!</v>
      </c>
      <c r="AS53" s="63" t="e">
        <v>#REF!</v>
      </c>
      <c r="AT53" s="63" t="e">
        <v>#REF!</v>
      </c>
      <c r="AU53" s="63" t="e">
        <v>#REF!</v>
      </c>
      <c r="AV53" s="63" t="e">
        <v>#REF!</v>
      </c>
      <c r="AX53" s="63" t="e">
        <v>#REF!</v>
      </c>
      <c r="AY53" s="63" t="e">
        <v>#REF!</v>
      </c>
      <c r="AZ53" s="63" t="e">
        <v>#REF!</v>
      </c>
      <c r="BA53" s="63" t="e">
        <v>#REF!</v>
      </c>
      <c r="BB53" s="63" t="e">
        <v>#REF!</v>
      </c>
      <c r="BC53" s="63" t="e">
        <v>#REF!</v>
      </c>
      <c r="BD53" s="63" t="e">
        <v>#REF!</v>
      </c>
      <c r="BE53" s="63" t="e">
        <v>#REF!</v>
      </c>
      <c r="BF53" s="63" t="e">
        <v>#REF!</v>
      </c>
      <c r="BG53" s="63" t="e">
        <v>#REF!</v>
      </c>
      <c r="BH53" s="63" t="e">
        <v>#REF!</v>
      </c>
      <c r="BI53" s="63" t="e">
        <v>#REF!</v>
      </c>
      <c r="BJ53" s="63" t="e">
        <v>#REF!</v>
      </c>
      <c r="BK53" s="63" t="e">
        <v>#REF!</v>
      </c>
    </row>
    <row r="54" spans="2:63">
      <c r="B54" s="92" t="e">
        <v>#REF!</v>
      </c>
      <c r="C54" s="92" t="e">
        <v>#REF!</v>
      </c>
      <c r="E54" s="92" t="e">
        <v>#REF!</v>
      </c>
      <c r="F54" s="92" t="e">
        <v>#REF!</v>
      </c>
      <c r="M54" s="63" t="e">
        <v>#REF!</v>
      </c>
      <c r="N54" s="63" t="e">
        <v>#REF!</v>
      </c>
      <c r="O54" s="63" t="e">
        <v>#REF!</v>
      </c>
      <c r="P54" s="63" t="e">
        <v>#REF!</v>
      </c>
      <c r="Q54" s="63" t="e">
        <v>#REF!</v>
      </c>
      <c r="R54" s="63" t="e">
        <v>#REF!</v>
      </c>
      <c r="S54" s="63" t="e">
        <v>#REF!</v>
      </c>
      <c r="T54" s="63" t="e">
        <v>#REF!</v>
      </c>
      <c r="U54" s="63" t="e">
        <v>#REF!</v>
      </c>
      <c r="V54" s="63" t="e">
        <v>#REF!</v>
      </c>
      <c r="W54" s="63" t="e">
        <v>#REF!</v>
      </c>
      <c r="X54" s="63" t="e">
        <v>#REF!</v>
      </c>
      <c r="Y54" s="63" t="e">
        <v>#REF!</v>
      </c>
      <c r="Z54" s="63" t="e">
        <v>#REF!</v>
      </c>
      <c r="AA54" s="63" t="e">
        <v>#REF!</v>
      </c>
      <c r="AB54" s="63" t="e">
        <v>#REF!</v>
      </c>
      <c r="AC54" s="63" t="e">
        <v>#REF!</v>
      </c>
      <c r="AD54" s="63" t="e">
        <v>#REF!</v>
      </c>
      <c r="AE54" s="63" t="e">
        <v>#REF!</v>
      </c>
      <c r="AF54" s="63" t="e">
        <v>#REF!</v>
      </c>
      <c r="AH54" s="63" t="e">
        <v>#REF!</v>
      </c>
      <c r="AI54" s="63" t="e">
        <v>#REF!</v>
      </c>
      <c r="AJ54" s="63" t="e">
        <v>#REF!</v>
      </c>
      <c r="AK54" s="63" t="e">
        <v>#REF!</v>
      </c>
      <c r="AL54" s="63" t="e">
        <v>#REF!</v>
      </c>
      <c r="AM54" s="63" t="e">
        <v>#REF!</v>
      </c>
      <c r="AN54" s="63" t="e">
        <v>#REF!</v>
      </c>
      <c r="AO54" s="63" t="e">
        <v>#REF!</v>
      </c>
      <c r="AP54" s="63" t="e">
        <v>#REF!</v>
      </c>
      <c r="AQ54" s="63" t="e">
        <v>#REF!</v>
      </c>
      <c r="AR54" s="63" t="e">
        <v>#REF!</v>
      </c>
      <c r="AS54" s="63" t="e">
        <v>#REF!</v>
      </c>
      <c r="AT54" s="63" t="e">
        <v>#REF!</v>
      </c>
      <c r="AU54" s="63" t="e">
        <v>#REF!</v>
      </c>
      <c r="AV54" s="63" t="e">
        <v>#REF!</v>
      </c>
      <c r="AX54" s="63" t="e">
        <v>#REF!</v>
      </c>
      <c r="AY54" s="63" t="e">
        <v>#REF!</v>
      </c>
      <c r="AZ54" s="63" t="e">
        <v>#REF!</v>
      </c>
      <c r="BA54" s="63" t="e">
        <v>#REF!</v>
      </c>
      <c r="BB54" s="63" t="e">
        <v>#REF!</v>
      </c>
      <c r="BC54" s="63" t="e">
        <v>#REF!</v>
      </c>
      <c r="BD54" s="63" t="e">
        <v>#REF!</v>
      </c>
      <c r="BE54" s="63" t="e">
        <v>#REF!</v>
      </c>
      <c r="BF54" s="63" t="e">
        <v>#REF!</v>
      </c>
      <c r="BG54" s="63" t="e">
        <v>#REF!</v>
      </c>
      <c r="BH54" s="63" t="e">
        <v>#REF!</v>
      </c>
      <c r="BI54" s="63" t="e">
        <v>#REF!</v>
      </c>
      <c r="BJ54" s="63" t="e">
        <v>#REF!</v>
      </c>
      <c r="BK54" s="63" t="e">
        <v>#REF!</v>
      </c>
    </row>
    <row r="55" spans="2:63">
      <c r="B55" s="92" t="e">
        <v>#REF!</v>
      </c>
      <c r="C55" s="92" t="e">
        <v>#REF!</v>
      </c>
      <c r="E55" s="92" t="e">
        <v>#REF!</v>
      </c>
      <c r="F55" s="92" t="e">
        <v>#REF!</v>
      </c>
      <c r="M55" s="63" t="e">
        <v>#REF!</v>
      </c>
      <c r="N55" s="63" t="e">
        <v>#REF!</v>
      </c>
      <c r="O55" s="63" t="e">
        <v>#REF!</v>
      </c>
      <c r="P55" s="63" t="e">
        <v>#REF!</v>
      </c>
      <c r="Q55" s="63" t="e">
        <v>#REF!</v>
      </c>
      <c r="R55" s="63" t="e">
        <v>#REF!</v>
      </c>
      <c r="S55" s="63" t="e">
        <v>#REF!</v>
      </c>
      <c r="T55" s="63" t="e">
        <v>#REF!</v>
      </c>
      <c r="U55" s="63" t="e">
        <v>#REF!</v>
      </c>
      <c r="V55" s="63" t="e">
        <v>#REF!</v>
      </c>
      <c r="W55" s="63" t="e">
        <v>#REF!</v>
      </c>
      <c r="X55" s="63" t="e">
        <v>#REF!</v>
      </c>
      <c r="Y55" s="63" t="e">
        <v>#REF!</v>
      </c>
      <c r="Z55" s="63" t="e">
        <v>#REF!</v>
      </c>
      <c r="AA55" s="63" t="e">
        <v>#REF!</v>
      </c>
      <c r="AB55" s="63" t="e">
        <v>#REF!</v>
      </c>
      <c r="AC55" s="63" t="e">
        <v>#REF!</v>
      </c>
      <c r="AD55" s="63" t="e">
        <v>#REF!</v>
      </c>
      <c r="AE55" s="63" t="e">
        <v>#REF!</v>
      </c>
      <c r="AF55" s="63" t="e">
        <v>#REF!</v>
      </c>
      <c r="AH55" s="63" t="e">
        <v>#REF!</v>
      </c>
      <c r="AI55" s="63" t="e">
        <v>#REF!</v>
      </c>
      <c r="AJ55" s="63" t="e">
        <v>#REF!</v>
      </c>
      <c r="AK55" s="63" t="e">
        <v>#REF!</v>
      </c>
      <c r="AL55" s="63" t="e">
        <v>#REF!</v>
      </c>
      <c r="AM55" s="63" t="e">
        <v>#REF!</v>
      </c>
      <c r="AN55" s="63" t="e">
        <v>#REF!</v>
      </c>
      <c r="AO55" s="63" t="e">
        <v>#REF!</v>
      </c>
      <c r="AP55" s="63" t="e">
        <v>#REF!</v>
      </c>
      <c r="AQ55" s="63" t="e">
        <v>#REF!</v>
      </c>
      <c r="AR55" s="63" t="e">
        <v>#REF!</v>
      </c>
      <c r="AS55" s="63" t="e">
        <v>#REF!</v>
      </c>
      <c r="AT55" s="63" t="e">
        <v>#REF!</v>
      </c>
      <c r="AU55" s="63" t="e">
        <v>#REF!</v>
      </c>
      <c r="AV55" s="63" t="e">
        <v>#REF!</v>
      </c>
      <c r="AX55" s="63" t="e">
        <v>#REF!</v>
      </c>
      <c r="AY55" s="63" t="e">
        <v>#REF!</v>
      </c>
      <c r="AZ55" s="63" t="e">
        <v>#REF!</v>
      </c>
      <c r="BA55" s="63" t="e">
        <v>#REF!</v>
      </c>
      <c r="BB55" s="63" t="e">
        <v>#REF!</v>
      </c>
      <c r="BC55" s="63" t="e">
        <v>#REF!</v>
      </c>
      <c r="BD55" s="63" t="e">
        <v>#REF!</v>
      </c>
      <c r="BE55" s="63" t="e">
        <v>#REF!</v>
      </c>
      <c r="BF55" s="63" t="e">
        <v>#REF!</v>
      </c>
      <c r="BG55" s="63" t="e">
        <v>#REF!</v>
      </c>
      <c r="BH55" s="63" t="e">
        <v>#REF!</v>
      </c>
      <c r="BI55" s="63" t="e">
        <v>#REF!</v>
      </c>
      <c r="BJ55" s="63" t="e">
        <v>#REF!</v>
      </c>
      <c r="BK55" s="63" t="e">
        <v>#REF!</v>
      </c>
    </row>
    <row r="56" spans="2:63">
      <c r="B56" s="92" t="e">
        <v>#REF!</v>
      </c>
      <c r="C56" s="92" t="e">
        <v>#REF!</v>
      </c>
      <c r="E56" s="92" t="e">
        <v>#REF!</v>
      </c>
      <c r="F56" s="92" t="e">
        <v>#REF!</v>
      </c>
      <c r="M56" s="63" t="e">
        <v>#REF!</v>
      </c>
      <c r="N56" s="63" t="e">
        <v>#REF!</v>
      </c>
      <c r="O56" s="63" t="e">
        <v>#REF!</v>
      </c>
      <c r="P56" s="63" t="e">
        <v>#REF!</v>
      </c>
      <c r="Q56" s="63" t="e">
        <v>#REF!</v>
      </c>
      <c r="R56" s="63" t="e">
        <v>#REF!</v>
      </c>
      <c r="S56" s="63" t="e">
        <v>#REF!</v>
      </c>
      <c r="T56" s="63" t="e">
        <v>#REF!</v>
      </c>
      <c r="U56" s="63" t="e">
        <v>#REF!</v>
      </c>
      <c r="V56" s="63" t="e">
        <v>#REF!</v>
      </c>
      <c r="W56" s="63" t="e">
        <v>#REF!</v>
      </c>
      <c r="X56" s="63" t="e">
        <v>#REF!</v>
      </c>
      <c r="Y56" s="63" t="e">
        <v>#REF!</v>
      </c>
      <c r="Z56" s="63" t="e">
        <v>#REF!</v>
      </c>
      <c r="AA56" s="63" t="e">
        <v>#REF!</v>
      </c>
      <c r="AB56" s="63" t="e">
        <v>#REF!</v>
      </c>
      <c r="AC56" s="63" t="e">
        <v>#REF!</v>
      </c>
      <c r="AD56" s="63" t="e">
        <v>#REF!</v>
      </c>
      <c r="AE56" s="63" t="e">
        <v>#REF!</v>
      </c>
      <c r="AF56" s="63" t="e">
        <v>#REF!</v>
      </c>
      <c r="AH56" s="63" t="e">
        <v>#REF!</v>
      </c>
      <c r="AI56" s="63" t="e">
        <v>#REF!</v>
      </c>
      <c r="AJ56" s="63" t="e">
        <v>#REF!</v>
      </c>
      <c r="AK56" s="63" t="e">
        <v>#REF!</v>
      </c>
      <c r="AL56" s="63" t="e">
        <v>#REF!</v>
      </c>
      <c r="AM56" s="63" t="e">
        <v>#REF!</v>
      </c>
      <c r="AN56" s="63" t="e">
        <v>#REF!</v>
      </c>
      <c r="AO56" s="63" t="e">
        <v>#REF!</v>
      </c>
      <c r="AP56" s="63" t="e">
        <v>#REF!</v>
      </c>
      <c r="AQ56" s="63" t="e">
        <v>#REF!</v>
      </c>
      <c r="AR56" s="63" t="e">
        <v>#REF!</v>
      </c>
      <c r="AS56" s="63" t="e">
        <v>#REF!</v>
      </c>
      <c r="AT56" s="63" t="e">
        <v>#REF!</v>
      </c>
      <c r="AU56" s="63" t="e">
        <v>#REF!</v>
      </c>
      <c r="AV56" s="63" t="e">
        <v>#REF!</v>
      </c>
      <c r="AX56" s="63" t="e">
        <v>#REF!</v>
      </c>
      <c r="AY56" s="63" t="e">
        <v>#REF!</v>
      </c>
      <c r="AZ56" s="63" t="e">
        <v>#REF!</v>
      </c>
      <c r="BA56" s="63" t="e">
        <v>#REF!</v>
      </c>
      <c r="BB56" s="63" t="e">
        <v>#REF!</v>
      </c>
      <c r="BC56" s="63" t="e">
        <v>#REF!</v>
      </c>
      <c r="BD56" s="63" t="e">
        <v>#REF!</v>
      </c>
      <c r="BE56" s="63" t="e">
        <v>#REF!</v>
      </c>
      <c r="BF56" s="63" t="e">
        <v>#REF!</v>
      </c>
      <c r="BG56" s="63" t="e">
        <v>#REF!</v>
      </c>
      <c r="BH56" s="63" t="e">
        <v>#REF!</v>
      </c>
      <c r="BI56" s="63" t="e">
        <v>#REF!</v>
      </c>
      <c r="BJ56" s="63" t="e">
        <v>#REF!</v>
      </c>
      <c r="BK56" s="63" t="e">
        <v>#REF!</v>
      </c>
    </row>
    <row r="57" spans="2:63">
      <c r="B57" s="92" t="e">
        <v>#REF!</v>
      </c>
      <c r="C57" s="92" t="e">
        <v>#REF!</v>
      </c>
      <c r="E57" s="92" t="e">
        <v>#REF!</v>
      </c>
      <c r="F57" s="92" t="e">
        <v>#REF!</v>
      </c>
      <c r="M57" s="63" t="e">
        <v>#REF!</v>
      </c>
      <c r="N57" s="63" t="e">
        <v>#REF!</v>
      </c>
      <c r="O57" s="63" t="e">
        <v>#REF!</v>
      </c>
      <c r="P57" s="63" t="e">
        <v>#REF!</v>
      </c>
      <c r="Q57" s="63" t="e">
        <v>#REF!</v>
      </c>
      <c r="R57" s="63" t="e">
        <v>#REF!</v>
      </c>
      <c r="S57" s="63" t="e">
        <v>#REF!</v>
      </c>
      <c r="T57" s="63" t="e">
        <v>#REF!</v>
      </c>
      <c r="U57" s="63" t="e">
        <v>#REF!</v>
      </c>
      <c r="V57" s="63" t="e">
        <v>#REF!</v>
      </c>
      <c r="W57" s="63" t="e">
        <v>#REF!</v>
      </c>
      <c r="X57" s="63" t="e">
        <v>#REF!</v>
      </c>
      <c r="Y57" s="63" t="e">
        <v>#REF!</v>
      </c>
      <c r="Z57" s="63" t="e">
        <v>#REF!</v>
      </c>
      <c r="AA57" s="63" t="e">
        <v>#REF!</v>
      </c>
      <c r="AB57" s="63" t="e">
        <v>#REF!</v>
      </c>
      <c r="AC57" s="63" t="e">
        <v>#REF!</v>
      </c>
      <c r="AD57" s="63" t="e">
        <v>#REF!</v>
      </c>
      <c r="AE57" s="63" t="e">
        <v>#REF!</v>
      </c>
      <c r="AF57" s="63" t="e">
        <v>#REF!</v>
      </c>
      <c r="AH57" s="63" t="e">
        <v>#REF!</v>
      </c>
      <c r="AI57" s="63" t="e">
        <v>#REF!</v>
      </c>
      <c r="AJ57" s="63" t="e">
        <v>#REF!</v>
      </c>
      <c r="AK57" s="63" t="e">
        <v>#REF!</v>
      </c>
      <c r="AL57" s="63" t="e">
        <v>#REF!</v>
      </c>
      <c r="AM57" s="63" t="e">
        <v>#REF!</v>
      </c>
      <c r="AN57" s="63" t="e">
        <v>#REF!</v>
      </c>
      <c r="AO57" s="63" t="e">
        <v>#REF!</v>
      </c>
      <c r="AP57" s="63" t="e">
        <v>#REF!</v>
      </c>
      <c r="AQ57" s="63" t="e">
        <v>#REF!</v>
      </c>
      <c r="AR57" s="63" t="e">
        <v>#REF!</v>
      </c>
      <c r="AS57" s="63" t="e">
        <v>#REF!</v>
      </c>
      <c r="AT57" s="63" t="e">
        <v>#REF!</v>
      </c>
      <c r="AU57" s="63" t="e">
        <v>#REF!</v>
      </c>
      <c r="AV57" s="63" t="e">
        <v>#REF!</v>
      </c>
      <c r="AX57" s="63" t="e">
        <v>#REF!</v>
      </c>
      <c r="AY57" s="63" t="e">
        <v>#REF!</v>
      </c>
      <c r="AZ57" s="63" t="e">
        <v>#REF!</v>
      </c>
      <c r="BA57" s="63" t="e">
        <v>#REF!</v>
      </c>
      <c r="BB57" s="63" t="e">
        <v>#REF!</v>
      </c>
      <c r="BC57" s="63" t="e">
        <v>#REF!</v>
      </c>
      <c r="BD57" s="63" t="e">
        <v>#REF!</v>
      </c>
      <c r="BE57" s="63" t="e">
        <v>#REF!</v>
      </c>
      <c r="BF57" s="63" t="e">
        <v>#REF!</v>
      </c>
      <c r="BG57" s="63" t="e">
        <v>#REF!</v>
      </c>
      <c r="BH57" s="63" t="e">
        <v>#REF!</v>
      </c>
      <c r="BI57" s="63" t="e">
        <v>#REF!</v>
      </c>
      <c r="BJ57" s="63" t="e">
        <v>#REF!</v>
      </c>
      <c r="BK57" s="63" t="e">
        <v>#REF!</v>
      </c>
    </row>
    <row r="58" spans="2:63">
      <c r="B58" s="92" t="e">
        <v>#REF!</v>
      </c>
      <c r="C58" s="92" t="e">
        <v>#REF!</v>
      </c>
      <c r="E58" s="92" t="e">
        <v>#REF!</v>
      </c>
      <c r="F58" s="92" t="e">
        <v>#REF!</v>
      </c>
      <c r="M58" s="63" t="e">
        <v>#REF!</v>
      </c>
      <c r="N58" s="63" t="e">
        <v>#REF!</v>
      </c>
      <c r="O58" s="63" t="e">
        <v>#REF!</v>
      </c>
      <c r="P58" s="63" t="e">
        <v>#REF!</v>
      </c>
      <c r="Q58" s="63" t="e">
        <v>#REF!</v>
      </c>
      <c r="R58" s="63" t="e">
        <v>#REF!</v>
      </c>
      <c r="S58" s="63" t="e">
        <v>#REF!</v>
      </c>
      <c r="T58" s="63" t="e">
        <v>#REF!</v>
      </c>
      <c r="U58" s="63" t="e">
        <v>#REF!</v>
      </c>
      <c r="V58" s="63" t="e">
        <v>#REF!</v>
      </c>
      <c r="W58" s="63" t="e">
        <v>#REF!</v>
      </c>
      <c r="X58" s="63" t="e">
        <v>#REF!</v>
      </c>
      <c r="Y58" s="63" t="e">
        <v>#REF!</v>
      </c>
      <c r="Z58" s="63" t="e">
        <v>#REF!</v>
      </c>
      <c r="AA58" s="63" t="e">
        <v>#REF!</v>
      </c>
      <c r="AB58" s="63" t="e">
        <v>#REF!</v>
      </c>
      <c r="AC58" s="63" t="e">
        <v>#REF!</v>
      </c>
      <c r="AD58" s="63" t="e">
        <v>#REF!</v>
      </c>
      <c r="AE58" s="63" t="e">
        <v>#REF!</v>
      </c>
      <c r="AF58" s="63" t="e">
        <v>#REF!</v>
      </c>
      <c r="AH58" s="63" t="e">
        <v>#REF!</v>
      </c>
      <c r="AI58" s="63" t="e">
        <v>#REF!</v>
      </c>
      <c r="AJ58" s="63" t="e">
        <v>#REF!</v>
      </c>
      <c r="AK58" s="63" t="e">
        <v>#REF!</v>
      </c>
      <c r="AL58" s="63" t="e">
        <v>#REF!</v>
      </c>
      <c r="AM58" s="63" t="e">
        <v>#REF!</v>
      </c>
      <c r="AN58" s="63" t="e">
        <v>#REF!</v>
      </c>
      <c r="AO58" s="63" t="e">
        <v>#REF!</v>
      </c>
      <c r="AP58" s="63" t="e">
        <v>#REF!</v>
      </c>
      <c r="AQ58" s="63" t="e">
        <v>#REF!</v>
      </c>
      <c r="AR58" s="63" t="e">
        <v>#REF!</v>
      </c>
      <c r="AS58" s="63" t="e">
        <v>#REF!</v>
      </c>
      <c r="AT58" s="63" t="e">
        <v>#REF!</v>
      </c>
      <c r="AU58" s="63" t="e">
        <v>#REF!</v>
      </c>
      <c r="AV58" s="63" t="e">
        <v>#REF!</v>
      </c>
      <c r="AX58" s="63" t="e">
        <v>#REF!</v>
      </c>
      <c r="AY58" s="63" t="e">
        <v>#REF!</v>
      </c>
      <c r="AZ58" s="63" t="e">
        <v>#REF!</v>
      </c>
      <c r="BA58" s="63" t="e">
        <v>#REF!</v>
      </c>
      <c r="BB58" s="63" t="e">
        <v>#REF!</v>
      </c>
      <c r="BC58" s="63" t="e">
        <v>#REF!</v>
      </c>
      <c r="BD58" s="63" t="e">
        <v>#REF!</v>
      </c>
      <c r="BE58" s="63" t="e">
        <v>#REF!</v>
      </c>
      <c r="BF58" s="63" t="e">
        <v>#REF!</v>
      </c>
      <c r="BG58" s="63" t="e">
        <v>#REF!</v>
      </c>
      <c r="BH58" s="63" t="e">
        <v>#REF!</v>
      </c>
      <c r="BI58" s="63" t="e">
        <v>#REF!</v>
      </c>
      <c r="BJ58" s="63" t="e">
        <v>#REF!</v>
      </c>
      <c r="BK58" s="63" t="e">
        <v>#REF!</v>
      </c>
    </row>
    <row r="59" spans="2:63">
      <c r="B59" s="92" t="e">
        <v>#REF!</v>
      </c>
      <c r="C59" s="92" t="e">
        <v>#REF!</v>
      </c>
      <c r="E59" s="92" t="e">
        <v>#REF!</v>
      </c>
      <c r="F59" s="92" t="e">
        <v>#REF!</v>
      </c>
      <c r="M59" s="63" t="e">
        <v>#REF!</v>
      </c>
      <c r="N59" s="63" t="e">
        <v>#REF!</v>
      </c>
      <c r="O59" s="63" t="e">
        <v>#REF!</v>
      </c>
      <c r="P59" s="63" t="e">
        <v>#REF!</v>
      </c>
      <c r="Q59" s="63" t="e">
        <v>#REF!</v>
      </c>
      <c r="R59" s="63" t="e">
        <v>#REF!</v>
      </c>
      <c r="S59" s="63" t="e">
        <v>#REF!</v>
      </c>
      <c r="T59" s="63" t="e">
        <v>#REF!</v>
      </c>
      <c r="U59" s="63" t="e">
        <v>#REF!</v>
      </c>
      <c r="V59" s="63" t="e">
        <v>#REF!</v>
      </c>
      <c r="W59" s="63" t="e">
        <v>#REF!</v>
      </c>
      <c r="X59" s="63" t="e">
        <v>#REF!</v>
      </c>
      <c r="Y59" s="63" t="e">
        <v>#REF!</v>
      </c>
      <c r="Z59" s="63" t="e">
        <v>#REF!</v>
      </c>
      <c r="AA59" s="63" t="e">
        <v>#REF!</v>
      </c>
      <c r="AB59" s="63" t="e">
        <v>#REF!</v>
      </c>
      <c r="AC59" s="63" t="e">
        <v>#REF!</v>
      </c>
      <c r="AD59" s="63" t="e">
        <v>#REF!</v>
      </c>
      <c r="AE59" s="63" t="e">
        <v>#REF!</v>
      </c>
      <c r="AF59" s="63" t="e">
        <v>#REF!</v>
      </c>
      <c r="AH59" s="63" t="e">
        <v>#REF!</v>
      </c>
      <c r="AI59" s="63" t="e">
        <v>#REF!</v>
      </c>
      <c r="AJ59" s="63" t="e">
        <v>#REF!</v>
      </c>
      <c r="AK59" s="63" t="e">
        <v>#REF!</v>
      </c>
      <c r="AL59" s="63" t="e">
        <v>#REF!</v>
      </c>
      <c r="AM59" s="63" t="e">
        <v>#REF!</v>
      </c>
      <c r="AN59" s="63" t="e">
        <v>#REF!</v>
      </c>
      <c r="AO59" s="63" t="e">
        <v>#REF!</v>
      </c>
      <c r="AP59" s="63" t="e">
        <v>#REF!</v>
      </c>
      <c r="AQ59" s="63" t="e">
        <v>#REF!</v>
      </c>
      <c r="AR59" s="63" t="e">
        <v>#REF!</v>
      </c>
      <c r="AS59" s="63" t="e">
        <v>#REF!</v>
      </c>
      <c r="AT59" s="63" t="e">
        <v>#REF!</v>
      </c>
      <c r="AU59" s="63" t="e">
        <v>#REF!</v>
      </c>
      <c r="AV59" s="63" t="e">
        <v>#REF!</v>
      </c>
      <c r="AX59" s="63" t="e">
        <v>#REF!</v>
      </c>
      <c r="AY59" s="63" t="e">
        <v>#REF!</v>
      </c>
      <c r="AZ59" s="63" t="e">
        <v>#REF!</v>
      </c>
      <c r="BA59" s="63" t="e">
        <v>#REF!</v>
      </c>
      <c r="BB59" s="63" t="e">
        <v>#REF!</v>
      </c>
      <c r="BC59" s="63" t="e">
        <v>#REF!</v>
      </c>
      <c r="BD59" s="63" t="e">
        <v>#REF!</v>
      </c>
      <c r="BE59" s="63" t="e">
        <v>#REF!</v>
      </c>
      <c r="BF59" s="63" t="e">
        <v>#REF!</v>
      </c>
      <c r="BG59" s="63" t="e">
        <v>#REF!</v>
      </c>
      <c r="BH59" s="63" t="e">
        <v>#REF!</v>
      </c>
      <c r="BI59" s="63" t="e">
        <v>#REF!</v>
      </c>
      <c r="BJ59" s="63" t="e">
        <v>#REF!</v>
      </c>
      <c r="BK59" s="63" t="e">
        <v>#REF!</v>
      </c>
    </row>
    <row r="60" spans="2:63">
      <c r="B60" s="92" t="e">
        <v>#REF!</v>
      </c>
      <c r="C60" s="92" t="e">
        <v>#REF!</v>
      </c>
      <c r="E60" s="92" t="e">
        <v>#REF!</v>
      </c>
      <c r="F60" s="92" t="e">
        <v>#REF!</v>
      </c>
      <c r="M60" s="63" t="e">
        <v>#REF!</v>
      </c>
      <c r="N60" s="63" t="e">
        <v>#REF!</v>
      </c>
      <c r="O60" s="63" t="e">
        <v>#REF!</v>
      </c>
      <c r="P60" s="63" t="e">
        <v>#REF!</v>
      </c>
      <c r="Q60" s="63" t="e">
        <v>#REF!</v>
      </c>
      <c r="R60" s="63" t="e">
        <v>#REF!</v>
      </c>
      <c r="S60" s="63" t="e">
        <v>#REF!</v>
      </c>
      <c r="T60" s="63" t="e">
        <v>#REF!</v>
      </c>
      <c r="U60" s="63" t="e">
        <v>#REF!</v>
      </c>
      <c r="V60" s="63" t="e">
        <v>#REF!</v>
      </c>
      <c r="W60" s="63" t="e">
        <v>#REF!</v>
      </c>
      <c r="X60" s="63" t="e">
        <v>#REF!</v>
      </c>
      <c r="Y60" s="63" t="e">
        <v>#REF!</v>
      </c>
      <c r="Z60" s="63" t="e">
        <v>#REF!</v>
      </c>
      <c r="AA60" s="63" t="e">
        <v>#REF!</v>
      </c>
      <c r="AB60" s="63" t="e">
        <v>#REF!</v>
      </c>
      <c r="AC60" s="63" t="e">
        <v>#REF!</v>
      </c>
      <c r="AD60" s="63" t="e">
        <v>#REF!</v>
      </c>
      <c r="AE60" s="63" t="e">
        <v>#REF!</v>
      </c>
      <c r="AF60" s="63" t="e">
        <v>#REF!</v>
      </c>
      <c r="AH60" s="63" t="e">
        <v>#REF!</v>
      </c>
      <c r="AI60" s="63" t="e">
        <v>#REF!</v>
      </c>
      <c r="AJ60" s="63" t="e">
        <v>#REF!</v>
      </c>
      <c r="AK60" s="63" t="e">
        <v>#REF!</v>
      </c>
      <c r="AL60" s="63" t="e">
        <v>#REF!</v>
      </c>
      <c r="AM60" s="63" t="e">
        <v>#REF!</v>
      </c>
      <c r="AN60" s="63" t="e">
        <v>#REF!</v>
      </c>
      <c r="AO60" s="63" t="e">
        <v>#REF!</v>
      </c>
      <c r="AP60" s="63" t="e">
        <v>#REF!</v>
      </c>
      <c r="AQ60" s="63" t="e">
        <v>#REF!</v>
      </c>
      <c r="AR60" s="63" t="e">
        <v>#REF!</v>
      </c>
      <c r="AS60" s="63" t="e">
        <v>#REF!</v>
      </c>
      <c r="AT60" s="63" t="e">
        <v>#REF!</v>
      </c>
      <c r="AU60" s="63" t="e">
        <v>#REF!</v>
      </c>
      <c r="AV60" s="63" t="e">
        <v>#REF!</v>
      </c>
      <c r="AX60" s="63" t="e">
        <v>#REF!</v>
      </c>
      <c r="AY60" s="63" t="e">
        <v>#REF!</v>
      </c>
      <c r="AZ60" s="63" t="e">
        <v>#REF!</v>
      </c>
      <c r="BA60" s="63" t="e">
        <v>#REF!</v>
      </c>
      <c r="BB60" s="63" t="e">
        <v>#REF!</v>
      </c>
      <c r="BC60" s="63" t="e">
        <v>#REF!</v>
      </c>
      <c r="BD60" s="63" t="e">
        <v>#REF!</v>
      </c>
      <c r="BE60" s="63" t="e">
        <v>#REF!</v>
      </c>
      <c r="BF60" s="63" t="e">
        <v>#REF!</v>
      </c>
      <c r="BG60" s="63" t="e">
        <v>#REF!</v>
      </c>
      <c r="BH60" s="63" t="e">
        <v>#REF!</v>
      </c>
      <c r="BI60" s="63" t="e">
        <v>#REF!</v>
      </c>
      <c r="BJ60" s="63" t="e">
        <v>#REF!</v>
      </c>
      <c r="BK60" s="63" t="e">
        <v>#REF!</v>
      </c>
    </row>
    <row r="61" spans="2:63">
      <c r="B61" s="92" t="e">
        <v>#REF!</v>
      </c>
      <c r="C61" s="92" t="e">
        <v>#REF!</v>
      </c>
      <c r="E61" s="92" t="e">
        <v>#REF!</v>
      </c>
      <c r="F61" s="92" t="e">
        <v>#REF!</v>
      </c>
      <c r="M61" s="63" t="e">
        <v>#REF!</v>
      </c>
      <c r="N61" s="63" t="e">
        <v>#REF!</v>
      </c>
      <c r="O61" s="63" t="e">
        <v>#REF!</v>
      </c>
      <c r="P61" s="63" t="e">
        <v>#REF!</v>
      </c>
      <c r="Q61" s="63" t="e">
        <v>#REF!</v>
      </c>
      <c r="R61" s="63" t="e">
        <v>#REF!</v>
      </c>
      <c r="S61" s="63" t="e">
        <v>#REF!</v>
      </c>
      <c r="T61" s="63" t="e">
        <v>#REF!</v>
      </c>
      <c r="U61" s="63" t="e">
        <v>#REF!</v>
      </c>
      <c r="V61" s="63" t="e">
        <v>#REF!</v>
      </c>
      <c r="W61" s="63" t="e">
        <v>#REF!</v>
      </c>
      <c r="X61" s="63" t="e">
        <v>#REF!</v>
      </c>
      <c r="Y61" s="63" t="e">
        <v>#REF!</v>
      </c>
      <c r="Z61" s="63" t="e">
        <v>#REF!</v>
      </c>
      <c r="AA61" s="63" t="e">
        <v>#REF!</v>
      </c>
      <c r="AB61" s="63" t="e">
        <v>#REF!</v>
      </c>
      <c r="AC61" s="63" t="e">
        <v>#REF!</v>
      </c>
      <c r="AD61" s="63" t="e">
        <v>#REF!</v>
      </c>
      <c r="AE61" s="63" t="e">
        <v>#REF!</v>
      </c>
      <c r="AF61" s="63" t="e">
        <v>#REF!</v>
      </c>
      <c r="AH61" s="63" t="e">
        <v>#REF!</v>
      </c>
      <c r="AI61" s="63" t="e">
        <v>#REF!</v>
      </c>
      <c r="AJ61" s="63" t="e">
        <v>#REF!</v>
      </c>
      <c r="AK61" s="63" t="e">
        <v>#REF!</v>
      </c>
      <c r="AL61" s="63" t="e">
        <v>#REF!</v>
      </c>
      <c r="AM61" s="63" t="e">
        <v>#REF!</v>
      </c>
      <c r="AN61" s="63" t="e">
        <v>#REF!</v>
      </c>
      <c r="AO61" s="63" t="e">
        <v>#REF!</v>
      </c>
      <c r="AP61" s="63" t="e">
        <v>#REF!</v>
      </c>
      <c r="AQ61" s="63" t="e">
        <v>#REF!</v>
      </c>
      <c r="AR61" s="63" t="e">
        <v>#REF!</v>
      </c>
      <c r="AS61" s="63" t="e">
        <v>#REF!</v>
      </c>
      <c r="AT61" s="63" t="e">
        <v>#REF!</v>
      </c>
      <c r="AU61" s="63" t="e">
        <v>#REF!</v>
      </c>
      <c r="AV61" s="63" t="e">
        <v>#REF!</v>
      </c>
      <c r="AX61" s="63" t="e">
        <v>#REF!</v>
      </c>
      <c r="AY61" s="63" t="e">
        <v>#REF!</v>
      </c>
      <c r="AZ61" s="63" t="e">
        <v>#REF!</v>
      </c>
      <c r="BA61" s="63" t="e">
        <v>#REF!</v>
      </c>
      <c r="BB61" s="63" t="e">
        <v>#REF!</v>
      </c>
      <c r="BC61" s="63" t="e">
        <v>#REF!</v>
      </c>
      <c r="BD61" s="63" t="e">
        <v>#REF!</v>
      </c>
      <c r="BE61" s="63" t="e">
        <v>#REF!</v>
      </c>
      <c r="BF61" s="63" t="e">
        <v>#REF!</v>
      </c>
      <c r="BG61" s="63" t="e">
        <v>#REF!</v>
      </c>
      <c r="BH61" s="63" t="e">
        <v>#REF!</v>
      </c>
      <c r="BI61" s="63" t="e">
        <v>#REF!</v>
      </c>
      <c r="BJ61" s="63" t="e">
        <v>#REF!</v>
      </c>
      <c r="BK61" s="63" t="e">
        <v>#REF!</v>
      </c>
    </row>
    <row r="62" spans="2:63">
      <c r="B62" s="92" t="e">
        <v>#REF!</v>
      </c>
      <c r="C62" s="92" t="e">
        <v>#REF!</v>
      </c>
      <c r="E62" s="92" t="e">
        <v>#REF!</v>
      </c>
      <c r="F62" s="92" t="e">
        <v>#REF!</v>
      </c>
      <c r="M62" s="63" t="e">
        <v>#REF!</v>
      </c>
      <c r="N62" s="63" t="e">
        <v>#REF!</v>
      </c>
      <c r="O62" s="63" t="e">
        <v>#REF!</v>
      </c>
      <c r="P62" s="63" t="e">
        <v>#REF!</v>
      </c>
      <c r="Q62" s="63" t="e">
        <v>#REF!</v>
      </c>
      <c r="R62" s="63" t="e">
        <v>#REF!</v>
      </c>
      <c r="S62" s="63" t="e">
        <v>#REF!</v>
      </c>
      <c r="T62" s="63" t="e">
        <v>#REF!</v>
      </c>
      <c r="U62" s="63" t="e">
        <v>#REF!</v>
      </c>
      <c r="V62" s="63" t="e">
        <v>#REF!</v>
      </c>
      <c r="W62" s="63" t="e">
        <v>#REF!</v>
      </c>
      <c r="X62" s="63" t="e">
        <v>#REF!</v>
      </c>
      <c r="Y62" s="63" t="e">
        <v>#REF!</v>
      </c>
      <c r="Z62" s="63" t="e">
        <v>#REF!</v>
      </c>
      <c r="AA62" s="63" t="e">
        <v>#REF!</v>
      </c>
      <c r="AB62" s="63" t="e">
        <v>#REF!</v>
      </c>
      <c r="AC62" s="63" t="e">
        <v>#REF!</v>
      </c>
      <c r="AD62" s="63" t="e">
        <v>#REF!</v>
      </c>
      <c r="AE62" s="63" t="e">
        <v>#REF!</v>
      </c>
      <c r="AF62" s="63" t="e">
        <v>#REF!</v>
      </c>
      <c r="AH62" s="63" t="e">
        <v>#REF!</v>
      </c>
      <c r="AI62" s="63" t="e">
        <v>#REF!</v>
      </c>
      <c r="AJ62" s="63" t="e">
        <v>#REF!</v>
      </c>
      <c r="AK62" s="63" t="e">
        <v>#REF!</v>
      </c>
      <c r="AL62" s="63" t="e">
        <v>#REF!</v>
      </c>
      <c r="AM62" s="63" t="e">
        <v>#REF!</v>
      </c>
      <c r="AN62" s="63" t="e">
        <v>#REF!</v>
      </c>
      <c r="AO62" s="63" t="e">
        <v>#REF!</v>
      </c>
      <c r="AP62" s="63" t="e">
        <v>#REF!</v>
      </c>
      <c r="AQ62" s="63" t="e">
        <v>#REF!</v>
      </c>
      <c r="AR62" s="63" t="e">
        <v>#REF!</v>
      </c>
      <c r="AS62" s="63" t="e">
        <v>#REF!</v>
      </c>
      <c r="AT62" s="63" t="e">
        <v>#REF!</v>
      </c>
      <c r="AU62" s="63" t="e">
        <v>#REF!</v>
      </c>
      <c r="AV62" s="63" t="e">
        <v>#REF!</v>
      </c>
      <c r="AX62" s="63" t="e">
        <v>#REF!</v>
      </c>
      <c r="AY62" s="63" t="e">
        <v>#REF!</v>
      </c>
      <c r="AZ62" s="63" t="e">
        <v>#REF!</v>
      </c>
      <c r="BA62" s="63" t="e">
        <v>#REF!</v>
      </c>
      <c r="BB62" s="63" t="e">
        <v>#REF!</v>
      </c>
      <c r="BC62" s="63" t="e">
        <v>#REF!</v>
      </c>
      <c r="BD62" s="63" t="e">
        <v>#REF!</v>
      </c>
      <c r="BE62" s="63" t="e">
        <v>#REF!</v>
      </c>
      <c r="BF62" s="63" t="e">
        <v>#REF!</v>
      </c>
      <c r="BG62" s="63" t="e">
        <v>#REF!</v>
      </c>
      <c r="BH62" s="63" t="e">
        <v>#REF!</v>
      </c>
      <c r="BI62" s="63" t="e">
        <v>#REF!</v>
      </c>
      <c r="BJ62" s="63" t="e">
        <v>#REF!</v>
      </c>
      <c r="BK62" s="63" t="e">
        <v>#REF!</v>
      </c>
    </row>
    <row r="63" spans="2:63">
      <c r="B63" s="92" t="e">
        <v>#REF!</v>
      </c>
      <c r="C63" s="92" t="e">
        <v>#REF!</v>
      </c>
      <c r="E63" s="92" t="e">
        <v>#REF!</v>
      </c>
      <c r="F63" s="92" t="e">
        <v>#REF!</v>
      </c>
      <c r="M63" s="63" t="e">
        <v>#REF!</v>
      </c>
      <c r="N63" s="63" t="e">
        <v>#REF!</v>
      </c>
      <c r="O63" s="63" t="e">
        <v>#REF!</v>
      </c>
      <c r="P63" s="63" t="e">
        <v>#REF!</v>
      </c>
      <c r="Q63" s="63" t="e">
        <v>#REF!</v>
      </c>
      <c r="R63" s="63" t="e">
        <v>#REF!</v>
      </c>
      <c r="S63" s="63" t="e">
        <v>#REF!</v>
      </c>
      <c r="T63" s="63" t="e">
        <v>#REF!</v>
      </c>
      <c r="U63" s="63" t="e">
        <v>#REF!</v>
      </c>
      <c r="V63" s="63" t="e">
        <v>#REF!</v>
      </c>
      <c r="W63" s="63" t="e">
        <v>#REF!</v>
      </c>
      <c r="X63" s="63" t="e">
        <v>#REF!</v>
      </c>
      <c r="Y63" s="63" t="e">
        <v>#REF!</v>
      </c>
      <c r="Z63" s="63" t="e">
        <v>#REF!</v>
      </c>
      <c r="AA63" s="63" t="e">
        <v>#REF!</v>
      </c>
      <c r="AB63" s="63" t="e">
        <v>#REF!</v>
      </c>
      <c r="AC63" s="63" t="e">
        <v>#REF!</v>
      </c>
      <c r="AD63" s="63" t="e">
        <v>#REF!</v>
      </c>
      <c r="AE63" s="63" t="e">
        <v>#REF!</v>
      </c>
      <c r="AF63" s="63" t="e">
        <v>#REF!</v>
      </c>
      <c r="AH63" s="63" t="e">
        <v>#REF!</v>
      </c>
      <c r="AI63" s="63" t="e">
        <v>#REF!</v>
      </c>
      <c r="AJ63" s="63" t="e">
        <v>#REF!</v>
      </c>
      <c r="AK63" s="63" t="e">
        <v>#REF!</v>
      </c>
      <c r="AL63" s="63" t="e">
        <v>#REF!</v>
      </c>
      <c r="AM63" s="63" t="e">
        <v>#REF!</v>
      </c>
      <c r="AN63" s="63" t="e">
        <v>#REF!</v>
      </c>
      <c r="AO63" s="63" t="e">
        <v>#REF!</v>
      </c>
      <c r="AP63" s="63" t="e">
        <v>#REF!</v>
      </c>
      <c r="AQ63" s="63" t="e">
        <v>#REF!</v>
      </c>
      <c r="AR63" s="63" t="e">
        <v>#REF!</v>
      </c>
      <c r="AS63" s="63" t="e">
        <v>#REF!</v>
      </c>
      <c r="AT63" s="63" t="e">
        <v>#REF!</v>
      </c>
      <c r="AU63" s="63" t="e">
        <v>#REF!</v>
      </c>
      <c r="AV63" s="63" t="e">
        <v>#REF!</v>
      </c>
      <c r="AX63" s="63" t="e">
        <v>#REF!</v>
      </c>
      <c r="AY63" s="63" t="e">
        <v>#REF!</v>
      </c>
      <c r="AZ63" s="63" t="e">
        <v>#REF!</v>
      </c>
      <c r="BA63" s="63" t="e">
        <v>#REF!</v>
      </c>
      <c r="BB63" s="63" t="e">
        <v>#REF!</v>
      </c>
      <c r="BC63" s="63" t="e">
        <v>#REF!</v>
      </c>
      <c r="BD63" s="63" t="e">
        <v>#REF!</v>
      </c>
      <c r="BE63" s="63" t="e">
        <v>#REF!</v>
      </c>
      <c r="BF63" s="63" t="e">
        <v>#REF!</v>
      </c>
      <c r="BG63" s="63" t="e">
        <v>#REF!</v>
      </c>
      <c r="BH63" s="63" t="e">
        <v>#REF!</v>
      </c>
      <c r="BI63" s="63" t="e">
        <v>#REF!</v>
      </c>
      <c r="BJ63" s="63" t="e">
        <v>#REF!</v>
      </c>
      <c r="BK63" s="63" t="e">
        <v>#REF!</v>
      </c>
    </row>
    <row r="64" spans="2:63">
      <c r="B64" s="92" t="e">
        <v>#REF!</v>
      </c>
      <c r="C64" s="92" t="e">
        <v>#REF!</v>
      </c>
      <c r="E64" s="92" t="e">
        <v>#REF!</v>
      </c>
      <c r="F64" s="92" t="e">
        <v>#REF!</v>
      </c>
      <c r="M64" s="63" t="e">
        <v>#REF!</v>
      </c>
      <c r="N64" s="63" t="e">
        <v>#REF!</v>
      </c>
      <c r="O64" s="63" t="e">
        <v>#REF!</v>
      </c>
      <c r="P64" s="63" t="e">
        <v>#REF!</v>
      </c>
      <c r="Q64" s="63" t="e">
        <v>#REF!</v>
      </c>
      <c r="R64" s="63" t="e">
        <v>#REF!</v>
      </c>
      <c r="S64" s="63" t="e">
        <v>#REF!</v>
      </c>
      <c r="T64" s="63" t="e">
        <v>#REF!</v>
      </c>
      <c r="U64" s="63" t="e">
        <v>#REF!</v>
      </c>
      <c r="V64" s="63" t="e">
        <v>#REF!</v>
      </c>
      <c r="W64" s="63" t="e">
        <v>#REF!</v>
      </c>
      <c r="X64" s="63" t="e">
        <v>#REF!</v>
      </c>
      <c r="Y64" s="63" t="e">
        <v>#REF!</v>
      </c>
      <c r="Z64" s="63" t="e">
        <v>#REF!</v>
      </c>
      <c r="AA64" s="63" t="e">
        <v>#REF!</v>
      </c>
      <c r="AB64" s="63" t="e">
        <v>#REF!</v>
      </c>
      <c r="AC64" s="63" t="e">
        <v>#REF!</v>
      </c>
      <c r="AD64" s="63" t="e">
        <v>#REF!</v>
      </c>
      <c r="AE64" s="63" t="e">
        <v>#REF!</v>
      </c>
      <c r="AF64" s="63" t="e">
        <v>#REF!</v>
      </c>
      <c r="AH64" s="63" t="e">
        <v>#REF!</v>
      </c>
      <c r="AI64" s="63" t="e">
        <v>#REF!</v>
      </c>
      <c r="AJ64" s="63" t="e">
        <v>#REF!</v>
      </c>
      <c r="AK64" s="63" t="e">
        <v>#REF!</v>
      </c>
      <c r="AL64" s="63" t="e">
        <v>#REF!</v>
      </c>
      <c r="AM64" s="63" t="e">
        <v>#REF!</v>
      </c>
      <c r="AN64" s="63" t="e">
        <v>#REF!</v>
      </c>
      <c r="AO64" s="63" t="e">
        <v>#REF!</v>
      </c>
      <c r="AP64" s="63" t="e">
        <v>#REF!</v>
      </c>
      <c r="AQ64" s="63" t="e">
        <v>#REF!</v>
      </c>
      <c r="AR64" s="63" t="e">
        <v>#REF!</v>
      </c>
      <c r="AS64" s="63" t="e">
        <v>#REF!</v>
      </c>
      <c r="AT64" s="63" t="e">
        <v>#REF!</v>
      </c>
      <c r="AU64" s="63" t="e">
        <v>#REF!</v>
      </c>
      <c r="AV64" s="63" t="e">
        <v>#REF!</v>
      </c>
      <c r="AX64" s="63" t="e">
        <v>#REF!</v>
      </c>
      <c r="AY64" s="63" t="e">
        <v>#REF!</v>
      </c>
      <c r="AZ64" s="63" t="e">
        <v>#REF!</v>
      </c>
      <c r="BA64" s="63" t="e">
        <v>#REF!</v>
      </c>
      <c r="BB64" s="63" t="e">
        <v>#REF!</v>
      </c>
      <c r="BC64" s="63" t="e">
        <v>#REF!</v>
      </c>
      <c r="BD64" s="63" t="e">
        <v>#REF!</v>
      </c>
      <c r="BE64" s="63" t="e">
        <v>#REF!</v>
      </c>
      <c r="BF64" s="63" t="e">
        <v>#REF!</v>
      </c>
      <c r="BG64" s="63" t="e">
        <v>#REF!</v>
      </c>
      <c r="BH64" s="63" t="e">
        <v>#REF!</v>
      </c>
      <c r="BI64" s="63" t="e">
        <v>#REF!</v>
      </c>
      <c r="BJ64" s="63" t="e">
        <v>#REF!</v>
      </c>
      <c r="BK64" s="63" t="e">
        <v>#REF!</v>
      </c>
    </row>
    <row r="65" spans="2:63">
      <c r="B65" s="92" t="e">
        <v>#REF!</v>
      </c>
      <c r="C65" s="92" t="e">
        <v>#REF!</v>
      </c>
      <c r="E65" s="92" t="e">
        <v>#REF!</v>
      </c>
      <c r="F65" s="92" t="e">
        <v>#REF!</v>
      </c>
      <c r="M65" s="63" t="e">
        <v>#REF!</v>
      </c>
      <c r="N65" s="63" t="e">
        <v>#REF!</v>
      </c>
      <c r="O65" s="63" t="e">
        <v>#REF!</v>
      </c>
      <c r="P65" s="63" t="e">
        <v>#REF!</v>
      </c>
      <c r="Q65" s="63" t="e">
        <v>#REF!</v>
      </c>
      <c r="R65" s="63" t="e">
        <v>#REF!</v>
      </c>
      <c r="S65" s="63" t="e">
        <v>#REF!</v>
      </c>
      <c r="T65" s="63" t="e">
        <v>#REF!</v>
      </c>
      <c r="U65" s="63" t="e">
        <v>#REF!</v>
      </c>
      <c r="V65" s="63" t="e">
        <v>#REF!</v>
      </c>
      <c r="W65" s="63" t="e">
        <v>#REF!</v>
      </c>
      <c r="X65" s="63" t="e">
        <v>#REF!</v>
      </c>
      <c r="Y65" s="63" t="e">
        <v>#REF!</v>
      </c>
      <c r="Z65" s="63" t="e">
        <v>#REF!</v>
      </c>
      <c r="AA65" s="63" t="e">
        <v>#REF!</v>
      </c>
      <c r="AB65" s="63" t="e">
        <v>#REF!</v>
      </c>
      <c r="AC65" s="63" t="e">
        <v>#REF!</v>
      </c>
      <c r="AD65" s="63" t="e">
        <v>#REF!</v>
      </c>
      <c r="AE65" s="63" t="e">
        <v>#REF!</v>
      </c>
      <c r="AF65" s="63" t="e">
        <v>#REF!</v>
      </c>
      <c r="AH65" s="63" t="e">
        <v>#REF!</v>
      </c>
      <c r="AI65" s="63" t="e">
        <v>#REF!</v>
      </c>
      <c r="AJ65" s="63" t="e">
        <v>#REF!</v>
      </c>
      <c r="AK65" s="63" t="e">
        <v>#REF!</v>
      </c>
      <c r="AL65" s="63" t="e">
        <v>#REF!</v>
      </c>
      <c r="AM65" s="63" t="e">
        <v>#REF!</v>
      </c>
      <c r="AN65" s="63" t="e">
        <v>#REF!</v>
      </c>
      <c r="AO65" s="63" t="e">
        <v>#REF!</v>
      </c>
      <c r="AP65" s="63" t="e">
        <v>#REF!</v>
      </c>
      <c r="AQ65" s="63" t="e">
        <v>#REF!</v>
      </c>
      <c r="AR65" s="63" t="e">
        <v>#REF!</v>
      </c>
      <c r="AS65" s="63" t="e">
        <v>#REF!</v>
      </c>
      <c r="AT65" s="63" t="e">
        <v>#REF!</v>
      </c>
      <c r="AU65" s="63" t="e">
        <v>#REF!</v>
      </c>
      <c r="AV65" s="63" t="e">
        <v>#REF!</v>
      </c>
      <c r="AX65" s="63" t="e">
        <v>#REF!</v>
      </c>
      <c r="AY65" s="63" t="e">
        <v>#REF!</v>
      </c>
      <c r="AZ65" s="63" t="e">
        <v>#REF!</v>
      </c>
      <c r="BA65" s="63" t="e">
        <v>#REF!</v>
      </c>
      <c r="BB65" s="63" t="e">
        <v>#REF!</v>
      </c>
      <c r="BC65" s="63" t="e">
        <v>#REF!</v>
      </c>
      <c r="BD65" s="63" t="e">
        <v>#REF!</v>
      </c>
      <c r="BE65" s="63" t="e">
        <v>#REF!</v>
      </c>
      <c r="BF65" s="63" t="e">
        <v>#REF!</v>
      </c>
      <c r="BG65" s="63" t="e">
        <v>#REF!</v>
      </c>
      <c r="BH65" s="63" t="e">
        <v>#REF!</v>
      </c>
      <c r="BI65" s="63" t="e">
        <v>#REF!</v>
      </c>
      <c r="BJ65" s="63" t="e">
        <v>#REF!</v>
      </c>
      <c r="BK65" s="63" t="e">
        <v>#REF!</v>
      </c>
    </row>
    <row r="66" spans="2:63">
      <c r="B66" s="92" t="e">
        <v>#REF!</v>
      </c>
      <c r="C66" s="92" t="e">
        <v>#REF!</v>
      </c>
      <c r="E66" s="92" t="e">
        <v>#REF!</v>
      </c>
      <c r="F66" s="92" t="e">
        <v>#REF!</v>
      </c>
      <c r="M66" s="63" t="e">
        <v>#REF!</v>
      </c>
      <c r="N66" s="63" t="e">
        <v>#REF!</v>
      </c>
      <c r="O66" s="63" t="e">
        <v>#REF!</v>
      </c>
      <c r="P66" s="63" t="e">
        <v>#REF!</v>
      </c>
      <c r="Q66" s="63" t="e">
        <v>#REF!</v>
      </c>
      <c r="R66" s="63" t="e">
        <v>#REF!</v>
      </c>
      <c r="S66" s="63" t="e">
        <v>#REF!</v>
      </c>
      <c r="T66" s="63" t="e">
        <v>#REF!</v>
      </c>
      <c r="U66" s="63" t="e">
        <v>#REF!</v>
      </c>
      <c r="V66" s="63" t="e">
        <v>#REF!</v>
      </c>
      <c r="W66" s="63" t="e">
        <v>#REF!</v>
      </c>
      <c r="X66" s="63" t="e">
        <v>#REF!</v>
      </c>
      <c r="Y66" s="63" t="e">
        <v>#REF!</v>
      </c>
      <c r="Z66" s="63" t="e">
        <v>#REF!</v>
      </c>
      <c r="AA66" s="63" t="e">
        <v>#REF!</v>
      </c>
      <c r="AB66" s="63" t="e">
        <v>#REF!</v>
      </c>
      <c r="AC66" s="63" t="e">
        <v>#REF!</v>
      </c>
      <c r="AD66" s="63" t="e">
        <v>#REF!</v>
      </c>
      <c r="AE66" s="63" t="e">
        <v>#REF!</v>
      </c>
      <c r="AF66" s="63" t="e">
        <v>#REF!</v>
      </c>
      <c r="AH66" s="63" t="e">
        <v>#REF!</v>
      </c>
      <c r="AI66" s="63" t="e">
        <v>#REF!</v>
      </c>
      <c r="AJ66" s="63" t="e">
        <v>#REF!</v>
      </c>
      <c r="AK66" s="63" t="e">
        <v>#REF!</v>
      </c>
      <c r="AL66" s="63" t="e">
        <v>#REF!</v>
      </c>
      <c r="AM66" s="63" t="e">
        <v>#REF!</v>
      </c>
      <c r="AN66" s="63" t="e">
        <v>#REF!</v>
      </c>
      <c r="AO66" s="63" t="e">
        <v>#REF!</v>
      </c>
      <c r="AP66" s="63" t="e">
        <v>#REF!</v>
      </c>
      <c r="AQ66" s="63" t="e">
        <v>#REF!</v>
      </c>
      <c r="AR66" s="63" t="e">
        <v>#REF!</v>
      </c>
      <c r="AS66" s="63" t="e">
        <v>#REF!</v>
      </c>
      <c r="AT66" s="63" t="e">
        <v>#REF!</v>
      </c>
      <c r="AU66" s="63" t="e">
        <v>#REF!</v>
      </c>
      <c r="AV66" s="63" t="e">
        <v>#REF!</v>
      </c>
      <c r="AX66" s="63" t="e">
        <v>#REF!</v>
      </c>
      <c r="AY66" s="63" t="e">
        <v>#REF!</v>
      </c>
      <c r="AZ66" s="63" t="e">
        <v>#REF!</v>
      </c>
      <c r="BA66" s="63" t="e">
        <v>#REF!</v>
      </c>
      <c r="BB66" s="63" t="e">
        <v>#REF!</v>
      </c>
      <c r="BC66" s="63" t="e">
        <v>#REF!</v>
      </c>
      <c r="BD66" s="63" t="e">
        <v>#REF!</v>
      </c>
      <c r="BE66" s="63" t="e">
        <v>#REF!</v>
      </c>
      <c r="BF66" s="63" t="e">
        <v>#REF!</v>
      </c>
      <c r="BG66" s="63" t="e">
        <v>#REF!</v>
      </c>
      <c r="BH66" s="63" t="e">
        <v>#REF!</v>
      </c>
      <c r="BI66" s="63" t="e">
        <v>#REF!</v>
      </c>
      <c r="BJ66" s="63" t="e">
        <v>#REF!</v>
      </c>
      <c r="BK66" s="63" t="e">
        <v>#REF!</v>
      </c>
    </row>
    <row r="67" spans="2:63">
      <c r="B67" s="92" t="e">
        <v>#REF!</v>
      </c>
      <c r="C67" s="92" t="e">
        <v>#REF!</v>
      </c>
      <c r="E67" s="92" t="e">
        <v>#REF!</v>
      </c>
      <c r="F67" s="92" t="e">
        <v>#REF!</v>
      </c>
      <c r="M67" s="63" t="e">
        <v>#REF!</v>
      </c>
      <c r="N67" s="63" t="e">
        <v>#REF!</v>
      </c>
      <c r="O67" s="63" t="e">
        <v>#REF!</v>
      </c>
      <c r="P67" s="63" t="e">
        <v>#REF!</v>
      </c>
      <c r="Q67" s="63" t="e">
        <v>#REF!</v>
      </c>
      <c r="R67" s="63" t="e">
        <v>#REF!</v>
      </c>
      <c r="S67" s="63" t="e">
        <v>#REF!</v>
      </c>
      <c r="T67" s="63" t="e">
        <v>#REF!</v>
      </c>
      <c r="U67" s="63" t="e">
        <v>#REF!</v>
      </c>
      <c r="V67" s="63" t="e">
        <v>#REF!</v>
      </c>
      <c r="W67" s="63" t="e">
        <v>#REF!</v>
      </c>
      <c r="X67" s="63" t="e">
        <v>#REF!</v>
      </c>
      <c r="Y67" s="63" t="e">
        <v>#REF!</v>
      </c>
      <c r="Z67" s="63" t="e">
        <v>#REF!</v>
      </c>
      <c r="AA67" s="63" t="e">
        <v>#REF!</v>
      </c>
      <c r="AB67" s="63" t="e">
        <v>#REF!</v>
      </c>
      <c r="AC67" s="63" t="e">
        <v>#REF!</v>
      </c>
      <c r="AD67" s="63" t="e">
        <v>#REF!</v>
      </c>
      <c r="AE67" s="63" t="e">
        <v>#REF!</v>
      </c>
      <c r="AF67" s="63" t="e">
        <v>#REF!</v>
      </c>
      <c r="AH67" s="63" t="e">
        <v>#REF!</v>
      </c>
      <c r="AI67" s="63" t="e">
        <v>#REF!</v>
      </c>
      <c r="AJ67" s="63" t="e">
        <v>#REF!</v>
      </c>
      <c r="AK67" s="63" t="e">
        <v>#REF!</v>
      </c>
      <c r="AL67" s="63" t="e">
        <v>#REF!</v>
      </c>
      <c r="AM67" s="63" t="e">
        <v>#REF!</v>
      </c>
      <c r="AN67" s="63" t="e">
        <v>#REF!</v>
      </c>
      <c r="AO67" s="63" t="e">
        <v>#REF!</v>
      </c>
      <c r="AP67" s="63" t="e">
        <v>#REF!</v>
      </c>
      <c r="AQ67" s="63" t="e">
        <v>#REF!</v>
      </c>
      <c r="AR67" s="63" t="e">
        <v>#REF!</v>
      </c>
      <c r="AS67" s="63" t="e">
        <v>#REF!</v>
      </c>
      <c r="AT67" s="63" t="e">
        <v>#REF!</v>
      </c>
      <c r="AU67" s="63" t="e">
        <v>#REF!</v>
      </c>
      <c r="AV67" s="63" t="e">
        <v>#REF!</v>
      </c>
      <c r="AX67" s="63" t="e">
        <v>#REF!</v>
      </c>
      <c r="AY67" s="63" t="e">
        <v>#REF!</v>
      </c>
      <c r="AZ67" s="63" t="e">
        <v>#REF!</v>
      </c>
      <c r="BA67" s="63" t="e">
        <v>#REF!</v>
      </c>
      <c r="BB67" s="63" t="e">
        <v>#REF!</v>
      </c>
      <c r="BC67" s="63" t="e">
        <v>#REF!</v>
      </c>
      <c r="BD67" s="63" t="e">
        <v>#REF!</v>
      </c>
      <c r="BE67" s="63" t="e">
        <v>#REF!</v>
      </c>
      <c r="BF67" s="63" t="e">
        <v>#REF!</v>
      </c>
      <c r="BG67" s="63" t="e">
        <v>#REF!</v>
      </c>
      <c r="BH67" s="63" t="e">
        <v>#REF!</v>
      </c>
      <c r="BI67" s="63" t="e">
        <v>#REF!</v>
      </c>
      <c r="BJ67" s="63" t="e">
        <v>#REF!</v>
      </c>
      <c r="BK67" s="63" t="e">
        <v>#REF!</v>
      </c>
    </row>
    <row r="68" spans="2:63">
      <c r="B68" s="92" t="e">
        <v>#REF!</v>
      </c>
      <c r="C68" s="92" t="e">
        <v>#REF!</v>
      </c>
      <c r="E68" s="92" t="e">
        <v>#REF!</v>
      </c>
      <c r="F68" s="92" t="e">
        <v>#REF!</v>
      </c>
      <c r="M68" s="63" t="e">
        <v>#REF!</v>
      </c>
      <c r="N68" s="63" t="e">
        <v>#REF!</v>
      </c>
      <c r="O68" s="63" t="e">
        <v>#REF!</v>
      </c>
      <c r="P68" s="63" t="e">
        <v>#REF!</v>
      </c>
      <c r="Q68" s="63" t="e">
        <v>#REF!</v>
      </c>
      <c r="R68" s="63" t="e">
        <v>#REF!</v>
      </c>
      <c r="S68" s="63" t="e">
        <v>#REF!</v>
      </c>
      <c r="T68" s="63" t="e">
        <v>#REF!</v>
      </c>
      <c r="U68" s="63" t="e">
        <v>#REF!</v>
      </c>
      <c r="V68" s="63" t="e">
        <v>#REF!</v>
      </c>
      <c r="W68" s="63" t="e">
        <v>#REF!</v>
      </c>
      <c r="X68" s="63" t="e">
        <v>#REF!</v>
      </c>
      <c r="Y68" s="63" t="e">
        <v>#REF!</v>
      </c>
      <c r="Z68" s="63" t="e">
        <v>#REF!</v>
      </c>
      <c r="AA68" s="63" t="e">
        <v>#REF!</v>
      </c>
      <c r="AB68" s="63" t="e">
        <v>#REF!</v>
      </c>
      <c r="AC68" s="63" t="e">
        <v>#REF!</v>
      </c>
      <c r="AD68" s="63" t="e">
        <v>#REF!</v>
      </c>
      <c r="AE68" s="63" t="e">
        <v>#REF!</v>
      </c>
      <c r="AF68" s="63" t="e">
        <v>#REF!</v>
      </c>
      <c r="AH68" s="63" t="e">
        <v>#REF!</v>
      </c>
      <c r="AI68" s="63" t="e">
        <v>#REF!</v>
      </c>
      <c r="AJ68" s="63" t="e">
        <v>#REF!</v>
      </c>
      <c r="AK68" s="63" t="e">
        <v>#REF!</v>
      </c>
      <c r="AL68" s="63" t="e">
        <v>#REF!</v>
      </c>
      <c r="AM68" s="63" t="e">
        <v>#REF!</v>
      </c>
      <c r="AN68" s="63" t="e">
        <v>#REF!</v>
      </c>
      <c r="AO68" s="63" t="e">
        <v>#REF!</v>
      </c>
      <c r="AP68" s="63" t="e">
        <v>#REF!</v>
      </c>
      <c r="AQ68" s="63" t="e">
        <v>#REF!</v>
      </c>
      <c r="AR68" s="63" t="e">
        <v>#REF!</v>
      </c>
      <c r="AS68" s="63" t="e">
        <v>#REF!</v>
      </c>
      <c r="AT68" s="63" t="e">
        <v>#REF!</v>
      </c>
      <c r="AU68" s="63" t="e">
        <v>#REF!</v>
      </c>
      <c r="AV68" s="63" t="e">
        <v>#REF!</v>
      </c>
      <c r="AX68" s="63" t="e">
        <v>#REF!</v>
      </c>
      <c r="AY68" s="63" t="e">
        <v>#REF!</v>
      </c>
      <c r="AZ68" s="63" t="e">
        <v>#REF!</v>
      </c>
      <c r="BA68" s="63" t="e">
        <v>#REF!</v>
      </c>
      <c r="BB68" s="63" t="e">
        <v>#REF!</v>
      </c>
      <c r="BC68" s="63" t="e">
        <v>#REF!</v>
      </c>
      <c r="BD68" s="63" t="e">
        <v>#REF!</v>
      </c>
      <c r="BE68" s="63" t="e">
        <v>#REF!</v>
      </c>
      <c r="BF68" s="63" t="e">
        <v>#REF!</v>
      </c>
      <c r="BG68" s="63" t="e">
        <v>#REF!</v>
      </c>
      <c r="BH68" s="63" t="e">
        <v>#REF!</v>
      </c>
      <c r="BI68" s="63" t="e">
        <v>#REF!</v>
      </c>
      <c r="BJ68" s="63" t="e">
        <v>#REF!</v>
      </c>
      <c r="BK68" s="63" t="e">
        <v>#REF!</v>
      </c>
    </row>
    <row r="69" spans="2:63">
      <c r="B69" s="92" t="e">
        <v>#REF!</v>
      </c>
      <c r="C69" s="92" t="e">
        <v>#REF!</v>
      </c>
      <c r="E69" s="92" t="e">
        <v>#REF!</v>
      </c>
      <c r="F69" s="92" t="e">
        <v>#REF!</v>
      </c>
      <c r="M69" s="63" t="e">
        <v>#REF!</v>
      </c>
      <c r="N69" s="63" t="e">
        <v>#REF!</v>
      </c>
      <c r="O69" s="63" t="e">
        <v>#REF!</v>
      </c>
      <c r="P69" s="63" t="e">
        <v>#REF!</v>
      </c>
      <c r="Q69" s="63" t="e">
        <v>#REF!</v>
      </c>
      <c r="R69" s="63" t="e">
        <v>#REF!</v>
      </c>
      <c r="S69" s="63" t="e">
        <v>#REF!</v>
      </c>
      <c r="T69" s="63" t="e">
        <v>#REF!</v>
      </c>
      <c r="U69" s="63" t="e">
        <v>#REF!</v>
      </c>
      <c r="V69" s="63" t="e">
        <v>#REF!</v>
      </c>
      <c r="W69" s="63" t="e">
        <v>#REF!</v>
      </c>
      <c r="X69" s="63" t="e">
        <v>#REF!</v>
      </c>
      <c r="Y69" s="63" t="e">
        <v>#REF!</v>
      </c>
      <c r="Z69" s="63" t="e">
        <v>#REF!</v>
      </c>
      <c r="AA69" s="63" t="e">
        <v>#REF!</v>
      </c>
      <c r="AB69" s="63" t="e">
        <v>#REF!</v>
      </c>
      <c r="AC69" s="63" t="e">
        <v>#REF!</v>
      </c>
      <c r="AD69" s="63" t="e">
        <v>#REF!</v>
      </c>
      <c r="AE69" s="63" t="e">
        <v>#REF!</v>
      </c>
      <c r="AF69" s="63" t="e">
        <v>#REF!</v>
      </c>
      <c r="AH69" s="63" t="e">
        <v>#REF!</v>
      </c>
      <c r="AI69" s="63" t="e">
        <v>#REF!</v>
      </c>
      <c r="AJ69" s="63" t="e">
        <v>#REF!</v>
      </c>
      <c r="AK69" s="63" t="e">
        <v>#REF!</v>
      </c>
      <c r="AL69" s="63" t="e">
        <v>#REF!</v>
      </c>
      <c r="AM69" s="63" t="e">
        <v>#REF!</v>
      </c>
      <c r="AN69" s="63" t="e">
        <v>#REF!</v>
      </c>
      <c r="AO69" s="63" t="e">
        <v>#REF!</v>
      </c>
      <c r="AP69" s="63" t="e">
        <v>#REF!</v>
      </c>
      <c r="AQ69" s="63" t="e">
        <v>#REF!</v>
      </c>
      <c r="AR69" s="63" t="e">
        <v>#REF!</v>
      </c>
      <c r="AS69" s="63" t="e">
        <v>#REF!</v>
      </c>
      <c r="AT69" s="63" t="e">
        <v>#REF!</v>
      </c>
      <c r="AU69" s="63" t="e">
        <v>#REF!</v>
      </c>
      <c r="AV69" s="63" t="e">
        <v>#REF!</v>
      </c>
      <c r="AX69" s="63" t="e">
        <v>#REF!</v>
      </c>
      <c r="AY69" s="63" t="e">
        <v>#REF!</v>
      </c>
      <c r="AZ69" s="63" t="e">
        <v>#REF!</v>
      </c>
      <c r="BA69" s="63" t="e">
        <v>#REF!</v>
      </c>
      <c r="BB69" s="63" t="e">
        <v>#REF!</v>
      </c>
      <c r="BC69" s="63" t="e">
        <v>#REF!</v>
      </c>
      <c r="BD69" s="63" t="e">
        <v>#REF!</v>
      </c>
      <c r="BE69" s="63" t="e">
        <v>#REF!</v>
      </c>
      <c r="BF69" s="63" t="e">
        <v>#REF!</v>
      </c>
      <c r="BG69" s="63" t="e">
        <v>#REF!</v>
      </c>
      <c r="BH69" s="63" t="e">
        <v>#REF!</v>
      </c>
      <c r="BI69" s="63" t="e">
        <v>#REF!</v>
      </c>
      <c r="BJ69" s="63" t="e">
        <v>#REF!</v>
      </c>
      <c r="BK69" s="63" t="e">
        <v>#REF!</v>
      </c>
    </row>
    <row r="70" spans="2:63">
      <c r="B70" s="92" t="e">
        <v>#REF!</v>
      </c>
      <c r="C70" s="92" t="e">
        <v>#REF!</v>
      </c>
      <c r="E70" s="92" t="e">
        <v>#REF!</v>
      </c>
      <c r="F70" s="92" t="e">
        <v>#REF!</v>
      </c>
      <c r="L70" s="92"/>
      <c r="M70" s="63" t="e">
        <v>#REF!</v>
      </c>
      <c r="N70" s="63" t="e">
        <v>#REF!</v>
      </c>
      <c r="O70" s="63" t="e">
        <v>#REF!</v>
      </c>
      <c r="P70" s="63" t="e">
        <v>#REF!</v>
      </c>
      <c r="Q70" s="63" t="e">
        <v>#REF!</v>
      </c>
      <c r="R70" s="63" t="e">
        <v>#REF!</v>
      </c>
      <c r="S70" s="63" t="e">
        <v>#REF!</v>
      </c>
      <c r="T70" s="63" t="e">
        <v>#REF!</v>
      </c>
      <c r="U70" s="63" t="e">
        <v>#REF!</v>
      </c>
      <c r="V70" s="63" t="e">
        <v>#REF!</v>
      </c>
      <c r="W70" s="63" t="e">
        <v>#REF!</v>
      </c>
      <c r="X70" s="63" t="e">
        <v>#REF!</v>
      </c>
      <c r="Y70" s="63" t="e">
        <v>#REF!</v>
      </c>
      <c r="Z70" s="63" t="e">
        <v>#REF!</v>
      </c>
      <c r="AA70" s="63" t="e">
        <v>#REF!</v>
      </c>
      <c r="AB70" s="63" t="e">
        <v>#REF!</v>
      </c>
      <c r="AC70" s="63" t="e">
        <v>#REF!</v>
      </c>
      <c r="AD70" s="63" t="e">
        <v>#REF!</v>
      </c>
      <c r="AE70" s="63" t="e">
        <v>#REF!</v>
      </c>
      <c r="AF70" s="63" t="e">
        <v>#REF!</v>
      </c>
      <c r="AH70" s="63" t="e">
        <v>#REF!</v>
      </c>
      <c r="AI70" s="63" t="e">
        <v>#REF!</v>
      </c>
      <c r="AJ70" s="63" t="e">
        <v>#REF!</v>
      </c>
      <c r="AK70" s="63" t="e">
        <v>#REF!</v>
      </c>
      <c r="AL70" s="63" t="e">
        <v>#REF!</v>
      </c>
      <c r="AM70" s="63" t="e">
        <v>#REF!</v>
      </c>
      <c r="AN70" s="63" t="e">
        <v>#REF!</v>
      </c>
      <c r="AO70" s="63" t="e">
        <v>#REF!</v>
      </c>
      <c r="AP70" s="63" t="e">
        <v>#REF!</v>
      </c>
      <c r="AQ70" s="63" t="e">
        <v>#REF!</v>
      </c>
      <c r="AR70" s="63" t="e">
        <v>#REF!</v>
      </c>
      <c r="AS70" s="63" t="e">
        <v>#REF!</v>
      </c>
      <c r="AT70" s="63" t="e">
        <v>#REF!</v>
      </c>
      <c r="AU70" s="63" t="e">
        <v>#REF!</v>
      </c>
      <c r="AV70" s="63" t="e">
        <v>#REF!</v>
      </c>
      <c r="AX70" s="63" t="e">
        <v>#REF!</v>
      </c>
      <c r="AY70" s="63" t="e">
        <v>#REF!</v>
      </c>
      <c r="AZ70" s="63" t="e">
        <v>#REF!</v>
      </c>
      <c r="BA70" s="63" t="e">
        <v>#REF!</v>
      </c>
      <c r="BB70" s="63" t="e">
        <v>#REF!</v>
      </c>
      <c r="BC70" s="63" t="e">
        <v>#REF!</v>
      </c>
      <c r="BD70" s="63" t="e">
        <v>#REF!</v>
      </c>
      <c r="BE70" s="63" t="e">
        <v>#REF!</v>
      </c>
      <c r="BF70" s="63" t="e">
        <v>#REF!</v>
      </c>
      <c r="BG70" s="63" t="e">
        <v>#REF!</v>
      </c>
      <c r="BH70" s="63" t="e">
        <v>#REF!</v>
      </c>
      <c r="BI70" s="63" t="e">
        <v>#REF!</v>
      </c>
      <c r="BJ70" s="63" t="e">
        <v>#REF!</v>
      </c>
      <c r="BK70" s="63" t="e">
        <v>#REF!</v>
      </c>
    </row>
    <row r="71" spans="2:63">
      <c r="B71" s="92" t="e">
        <v>#REF!</v>
      </c>
      <c r="C71" s="92" t="e">
        <v>#REF!</v>
      </c>
      <c r="E71" s="92" t="e">
        <v>#REF!</v>
      </c>
      <c r="F71" s="92" t="e">
        <v>#REF!</v>
      </c>
      <c r="L71" s="92"/>
      <c r="M71" s="63" t="e">
        <v>#REF!</v>
      </c>
      <c r="N71" s="63" t="e">
        <v>#REF!</v>
      </c>
      <c r="O71" s="63" t="e">
        <v>#REF!</v>
      </c>
      <c r="P71" s="63" t="e">
        <v>#REF!</v>
      </c>
      <c r="Q71" s="63" t="e">
        <v>#REF!</v>
      </c>
      <c r="R71" s="63" t="e">
        <v>#REF!</v>
      </c>
      <c r="S71" s="63" t="e">
        <v>#REF!</v>
      </c>
      <c r="T71" s="63" t="e">
        <v>#REF!</v>
      </c>
      <c r="U71" s="63" t="e">
        <v>#REF!</v>
      </c>
      <c r="V71" s="63" t="e">
        <v>#REF!</v>
      </c>
      <c r="W71" s="63" t="e">
        <v>#REF!</v>
      </c>
      <c r="X71" s="63" t="e">
        <v>#REF!</v>
      </c>
      <c r="Y71" s="63" t="e">
        <v>#REF!</v>
      </c>
      <c r="Z71" s="63" t="e">
        <v>#REF!</v>
      </c>
      <c r="AA71" s="63" t="e">
        <v>#REF!</v>
      </c>
      <c r="AB71" s="63" t="e">
        <v>#REF!</v>
      </c>
      <c r="AC71" s="63" t="e">
        <v>#REF!</v>
      </c>
      <c r="AD71" s="63" t="e">
        <v>#REF!</v>
      </c>
      <c r="AE71" s="63" t="e">
        <v>#REF!</v>
      </c>
      <c r="AF71" s="63" t="e">
        <v>#REF!</v>
      </c>
      <c r="AH71" s="63" t="e">
        <v>#REF!</v>
      </c>
      <c r="AI71" s="63" t="e">
        <v>#REF!</v>
      </c>
      <c r="AJ71" s="63" t="e">
        <v>#REF!</v>
      </c>
      <c r="AK71" s="63" t="e">
        <v>#REF!</v>
      </c>
      <c r="AL71" s="63" t="e">
        <v>#REF!</v>
      </c>
      <c r="AM71" s="63" t="e">
        <v>#REF!</v>
      </c>
      <c r="AN71" s="63" t="e">
        <v>#REF!</v>
      </c>
      <c r="AO71" s="63" t="e">
        <v>#REF!</v>
      </c>
      <c r="AP71" s="63" t="e">
        <v>#REF!</v>
      </c>
      <c r="AQ71" s="63" t="e">
        <v>#REF!</v>
      </c>
      <c r="AR71" s="63" t="e">
        <v>#REF!</v>
      </c>
      <c r="AS71" s="63" t="e">
        <v>#REF!</v>
      </c>
      <c r="AT71" s="63" t="e">
        <v>#REF!</v>
      </c>
      <c r="AU71" s="63" t="e">
        <v>#REF!</v>
      </c>
      <c r="AV71" s="63" t="e">
        <v>#REF!</v>
      </c>
      <c r="AX71" s="63" t="e">
        <v>#REF!</v>
      </c>
      <c r="AY71" s="63" t="e">
        <v>#REF!</v>
      </c>
      <c r="AZ71" s="63" t="e">
        <v>#REF!</v>
      </c>
      <c r="BA71" s="63" t="e">
        <v>#REF!</v>
      </c>
      <c r="BB71" s="63" t="e">
        <v>#REF!</v>
      </c>
      <c r="BC71" s="63" t="e">
        <v>#REF!</v>
      </c>
      <c r="BD71" s="63" t="e">
        <v>#REF!</v>
      </c>
      <c r="BE71" s="63" t="e">
        <v>#REF!</v>
      </c>
      <c r="BF71" s="63" t="e">
        <v>#REF!</v>
      </c>
      <c r="BG71" s="63" t="e">
        <v>#REF!</v>
      </c>
      <c r="BH71" s="63" t="e">
        <v>#REF!</v>
      </c>
      <c r="BI71" s="63" t="e">
        <v>#REF!</v>
      </c>
      <c r="BJ71" s="63" t="e">
        <v>#REF!</v>
      </c>
      <c r="BK71" s="63" t="e">
        <v>#REF!</v>
      </c>
    </row>
    <row r="72" spans="2:63">
      <c r="B72" s="92" t="e">
        <v>#REF!</v>
      </c>
      <c r="C72" s="92" t="e">
        <v>#REF!</v>
      </c>
      <c r="E72" s="92" t="e">
        <v>#REF!</v>
      </c>
      <c r="F72" s="92" t="e">
        <v>#REF!</v>
      </c>
      <c r="L72" s="92"/>
      <c r="M72" s="63" t="e">
        <v>#REF!</v>
      </c>
      <c r="N72" s="63" t="e">
        <v>#REF!</v>
      </c>
      <c r="O72" s="63" t="e">
        <v>#REF!</v>
      </c>
      <c r="P72" s="63" t="e">
        <v>#REF!</v>
      </c>
      <c r="Q72" s="63" t="e">
        <v>#REF!</v>
      </c>
      <c r="R72" s="63" t="e">
        <v>#REF!</v>
      </c>
      <c r="S72" s="63" t="e">
        <v>#REF!</v>
      </c>
      <c r="T72" s="63" t="e">
        <v>#REF!</v>
      </c>
      <c r="U72" s="63" t="e">
        <v>#REF!</v>
      </c>
      <c r="V72" s="63" t="e">
        <v>#REF!</v>
      </c>
      <c r="W72" s="63" t="e">
        <v>#REF!</v>
      </c>
      <c r="X72" s="63" t="e">
        <v>#REF!</v>
      </c>
      <c r="Y72" s="63" t="e">
        <v>#REF!</v>
      </c>
      <c r="Z72" s="63" t="e">
        <v>#REF!</v>
      </c>
      <c r="AA72" s="63" t="e">
        <v>#REF!</v>
      </c>
      <c r="AB72" s="63" t="e">
        <v>#REF!</v>
      </c>
      <c r="AC72" s="63" t="e">
        <v>#REF!</v>
      </c>
      <c r="AD72" s="63" t="e">
        <v>#REF!</v>
      </c>
      <c r="AE72" s="63" t="e">
        <v>#REF!</v>
      </c>
      <c r="AF72" s="63" t="e">
        <v>#REF!</v>
      </c>
      <c r="AH72" s="63" t="e">
        <v>#REF!</v>
      </c>
      <c r="AI72" s="63" t="e">
        <v>#REF!</v>
      </c>
      <c r="AJ72" s="63" t="e">
        <v>#REF!</v>
      </c>
      <c r="AK72" s="63" t="e">
        <v>#REF!</v>
      </c>
      <c r="AL72" s="63" t="e">
        <v>#REF!</v>
      </c>
      <c r="AM72" s="63" t="e">
        <v>#REF!</v>
      </c>
      <c r="AN72" s="63" t="e">
        <v>#REF!</v>
      </c>
      <c r="AO72" s="63" t="e">
        <v>#REF!</v>
      </c>
      <c r="AP72" s="63" t="e">
        <v>#REF!</v>
      </c>
      <c r="AQ72" s="63" t="e">
        <v>#REF!</v>
      </c>
      <c r="AR72" s="63" t="e">
        <v>#REF!</v>
      </c>
      <c r="AS72" s="63" t="e">
        <v>#REF!</v>
      </c>
      <c r="AT72" s="63" t="e">
        <v>#REF!</v>
      </c>
      <c r="AU72" s="63" t="e">
        <v>#REF!</v>
      </c>
      <c r="AV72" s="63" t="e">
        <v>#REF!</v>
      </c>
      <c r="AX72" s="63" t="e">
        <v>#REF!</v>
      </c>
      <c r="AY72" s="63" t="e">
        <v>#REF!</v>
      </c>
      <c r="AZ72" s="63" t="e">
        <v>#REF!</v>
      </c>
      <c r="BA72" s="63" t="e">
        <v>#REF!</v>
      </c>
      <c r="BB72" s="63" t="e">
        <v>#REF!</v>
      </c>
      <c r="BC72" s="63" t="e">
        <v>#REF!</v>
      </c>
      <c r="BD72" s="63" t="e">
        <v>#REF!</v>
      </c>
      <c r="BE72" s="63" t="e">
        <v>#REF!</v>
      </c>
      <c r="BF72" s="63" t="e">
        <v>#REF!</v>
      </c>
      <c r="BG72" s="63" t="e">
        <v>#REF!</v>
      </c>
      <c r="BH72" s="63" t="e">
        <v>#REF!</v>
      </c>
      <c r="BI72" s="63" t="e">
        <v>#REF!</v>
      </c>
      <c r="BJ72" s="63" t="e">
        <v>#REF!</v>
      </c>
      <c r="BK72" s="63" t="e">
        <v>#REF!</v>
      </c>
    </row>
    <row r="73" spans="2:63">
      <c r="B73" s="92" t="e">
        <v>#REF!</v>
      </c>
      <c r="C73" s="92" t="e">
        <v>#REF!</v>
      </c>
      <c r="E73" s="92" t="e">
        <v>#REF!</v>
      </c>
      <c r="F73" s="92" t="e">
        <v>#REF!</v>
      </c>
      <c r="M73" s="63" t="e">
        <v>#REF!</v>
      </c>
      <c r="N73" s="63" t="e">
        <v>#REF!</v>
      </c>
      <c r="O73" s="63" t="e">
        <v>#REF!</v>
      </c>
      <c r="P73" s="63" t="e">
        <v>#REF!</v>
      </c>
      <c r="Q73" s="63" t="e">
        <v>#REF!</v>
      </c>
      <c r="R73" s="63" t="e">
        <v>#REF!</v>
      </c>
      <c r="S73" s="63" t="e">
        <v>#REF!</v>
      </c>
      <c r="T73" s="63" t="e">
        <v>#REF!</v>
      </c>
      <c r="U73" s="63" t="e">
        <v>#REF!</v>
      </c>
      <c r="V73" s="63" t="e">
        <v>#REF!</v>
      </c>
      <c r="W73" s="63" t="e">
        <v>#REF!</v>
      </c>
      <c r="X73" s="63" t="e">
        <v>#REF!</v>
      </c>
      <c r="Y73" s="63" t="e">
        <v>#REF!</v>
      </c>
      <c r="Z73" s="63" t="e">
        <v>#REF!</v>
      </c>
      <c r="AA73" s="63" t="e">
        <v>#REF!</v>
      </c>
      <c r="AB73" s="63" t="e">
        <v>#REF!</v>
      </c>
      <c r="AC73" s="63" t="e">
        <v>#REF!</v>
      </c>
      <c r="AD73" s="63" t="e">
        <v>#REF!</v>
      </c>
      <c r="AE73" s="63" t="e">
        <v>#REF!</v>
      </c>
      <c r="AF73" s="63" t="e">
        <v>#REF!</v>
      </c>
      <c r="AH73" s="63" t="e">
        <v>#REF!</v>
      </c>
      <c r="AI73" s="63" t="e">
        <v>#REF!</v>
      </c>
      <c r="AJ73" s="63" t="e">
        <v>#REF!</v>
      </c>
      <c r="AK73" s="63" t="e">
        <v>#REF!</v>
      </c>
      <c r="AL73" s="63" t="e">
        <v>#REF!</v>
      </c>
      <c r="AM73" s="63" t="e">
        <v>#REF!</v>
      </c>
      <c r="AN73" s="63" t="e">
        <v>#REF!</v>
      </c>
      <c r="AO73" s="63" t="e">
        <v>#REF!</v>
      </c>
      <c r="AP73" s="63" t="e">
        <v>#REF!</v>
      </c>
      <c r="AQ73" s="63" t="e">
        <v>#REF!</v>
      </c>
      <c r="AR73" s="63" t="e">
        <v>#REF!</v>
      </c>
      <c r="AS73" s="63" t="e">
        <v>#REF!</v>
      </c>
      <c r="AT73" s="63" t="e">
        <v>#REF!</v>
      </c>
      <c r="AU73" s="63" t="e">
        <v>#REF!</v>
      </c>
      <c r="AV73" s="63" t="e">
        <v>#REF!</v>
      </c>
      <c r="AX73" s="63" t="e">
        <v>#REF!</v>
      </c>
      <c r="AY73" s="63" t="e">
        <v>#REF!</v>
      </c>
      <c r="AZ73" s="63" t="e">
        <v>#REF!</v>
      </c>
      <c r="BA73" s="63" t="e">
        <v>#REF!</v>
      </c>
      <c r="BB73" s="63" t="e">
        <v>#REF!</v>
      </c>
      <c r="BC73" s="63" t="e">
        <v>#REF!</v>
      </c>
      <c r="BD73" s="63" t="e">
        <v>#REF!</v>
      </c>
      <c r="BE73" s="63" t="e">
        <v>#REF!</v>
      </c>
      <c r="BF73" s="63" t="e">
        <v>#REF!</v>
      </c>
      <c r="BG73" s="63" t="e">
        <v>#REF!</v>
      </c>
      <c r="BH73" s="63" t="e">
        <v>#REF!</v>
      </c>
      <c r="BI73" s="63" t="e">
        <v>#REF!</v>
      </c>
      <c r="BJ73" s="63" t="e">
        <v>#REF!</v>
      </c>
      <c r="BK73" s="63" t="e">
        <v>#REF!</v>
      </c>
    </row>
    <row r="74" spans="2:63">
      <c r="B74" s="92" t="e">
        <v>#REF!</v>
      </c>
      <c r="C74" s="92" t="e">
        <v>#REF!</v>
      </c>
      <c r="E74" s="92" t="e">
        <v>#REF!</v>
      </c>
      <c r="F74" s="92" t="e">
        <v>#REF!</v>
      </c>
      <c r="M74" s="63" t="e">
        <v>#REF!</v>
      </c>
      <c r="N74" s="63" t="e">
        <v>#REF!</v>
      </c>
      <c r="O74" s="63" t="e">
        <v>#REF!</v>
      </c>
      <c r="P74" s="63" t="e">
        <v>#REF!</v>
      </c>
      <c r="Q74" s="63" t="e">
        <v>#REF!</v>
      </c>
      <c r="R74" s="63" t="e">
        <v>#REF!</v>
      </c>
      <c r="S74" s="63" t="e">
        <v>#REF!</v>
      </c>
      <c r="T74" s="63" t="e">
        <v>#REF!</v>
      </c>
      <c r="U74" s="63" t="e">
        <v>#REF!</v>
      </c>
      <c r="V74" s="63" t="e">
        <v>#REF!</v>
      </c>
      <c r="W74" s="63" t="e">
        <v>#REF!</v>
      </c>
      <c r="X74" s="63" t="e">
        <v>#REF!</v>
      </c>
      <c r="Y74" s="63" t="e">
        <v>#REF!</v>
      </c>
      <c r="Z74" s="63" t="e">
        <v>#REF!</v>
      </c>
      <c r="AA74" s="63" t="e">
        <v>#REF!</v>
      </c>
      <c r="AB74" s="63" t="e">
        <v>#REF!</v>
      </c>
      <c r="AC74" s="63" t="e">
        <v>#REF!</v>
      </c>
      <c r="AD74" s="63" t="e">
        <v>#REF!</v>
      </c>
      <c r="AE74" s="63" t="e">
        <v>#REF!</v>
      </c>
      <c r="AF74" s="63" t="e">
        <v>#REF!</v>
      </c>
      <c r="AH74" s="63" t="e">
        <v>#REF!</v>
      </c>
      <c r="AI74" s="63" t="e">
        <v>#REF!</v>
      </c>
      <c r="AJ74" s="63" t="e">
        <v>#REF!</v>
      </c>
      <c r="AK74" s="63" t="e">
        <v>#REF!</v>
      </c>
      <c r="AL74" s="63" t="e">
        <v>#REF!</v>
      </c>
      <c r="AM74" s="63" t="e">
        <v>#REF!</v>
      </c>
      <c r="AN74" s="63" t="e">
        <v>#REF!</v>
      </c>
      <c r="AO74" s="63" t="e">
        <v>#REF!</v>
      </c>
      <c r="AP74" s="63" t="e">
        <v>#REF!</v>
      </c>
      <c r="AQ74" s="63" t="e">
        <v>#REF!</v>
      </c>
      <c r="AR74" s="63" t="e">
        <v>#REF!</v>
      </c>
      <c r="AS74" s="63" t="e">
        <v>#REF!</v>
      </c>
      <c r="AT74" s="63" t="e">
        <v>#REF!</v>
      </c>
      <c r="AU74" s="63" t="e">
        <v>#REF!</v>
      </c>
      <c r="AV74" s="63" t="e">
        <v>#REF!</v>
      </c>
      <c r="AX74" s="63" t="e">
        <v>#REF!</v>
      </c>
      <c r="AY74" s="63" t="e">
        <v>#REF!</v>
      </c>
      <c r="AZ74" s="63" t="e">
        <v>#REF!</v>
      </c>
      <c r="BA74" s="63" t="e">
        <v>#REF!</v>
      </c>
      <c r="BB74" s="63" t="e">
        <v>#REF!</v>
      </c>
      <c r="BC74" s="63" t="e">
        <v>#REF!</v>
      </c>
      <c r="BD74" s="63" t="e">
        <v>#REF!</v>
      </c>
      <c r="BE74" s="63" t="e">
        <v>#REF!</v>
      </c>
      <c r="BF74" s="63" t="e">
        <v>#REF!</v>
      </c>
      <c r="BG74" s="63" t="e">
        <v>#REF!</v>
      </c>
      <c r="BH74" s="63" t="e">
        <v>#REF!</v>
      </c>
      <c r="BI74" s="63" t="e">
        <v>#REF!</v>
      </c>
      <c r="BJ74" s="63" t="e">
        <v>#REF!</v>
      </c>
      <c r="BK74" s="63" t="e">
        <v>#REF!</v>
      </c>
    </row>
    <row r="75" spans="2:63">
      <c r="B75" s="92" t="e">
        <v>#REF!</v>
      </c>
      <c r="C75" s="92" t="e">
        <v>#REF!</v>
      </c>
      <c r="E75" s="92" t="e">
        <v>#REF!</v>
      </c>
      <c r="F75" s="92" t="e">
        <v>#REF!</v>
      </c>
      <c r="M75" s="63" t="e">
        <v>#REF!</v>
      </c>
      <c r="N75" s="63" t="e">
        <v>#REF!</v>
      </c>
      <c r="O75" s="63" t="e">
        <v>#REF!</v>
      </c>
      <c r="P75" s="63" t="e">
        <v>#REF!</v>
      </c>
      <c r="Q75" s="63" t="e">
        <v>#REF!</v>
      </c>
      <c r="R75" s="63" t="e">
        <v>#REF!</v>
      </c>
      <c r="S75" s="63" t="e">
        <v>#REF!</v>
      </c>
      <c r="T75" s="63" t="e">
        <v>#REF!</v>
      </c>
      <c r="U75" s="63" t="e">
        <v>#REF!</v>
      </c>
      <c r="V75" s="63" t="e">
        <v>#REF!</v>
      </c>
      <c r="W75" s="63" t="e">
        <v>#REF!</v>
      </c>
      <c r="X75" s="63" t="e">
        <v>#REF!</v>
      </c>
      <c r="Y75" s="63" t="e">
        <v>#REF!</v>
      </c>
      <c r="Z75" s="63" t="e">
        <v>#REF!</v>
      </c>
      <c r="AA75" s="63" t="e">
        <v>#REF!</v>
      </c>
      <c r="AB75" s="63" t="e">
        <v>#REF!</v>
      </c>
      <c r="AC75" s="63" t="e">
        <v>#REF!</v>
      </c>
      <c r="AD75" s="63" t="e">
        <v>#REF!</v>
      </c>
      <c r="AE75" s="63" t="e">
        <v>#REF!</v>
      </c>
      <c r="AF75" s="63" t="e">
        <v>#REF!</v>
      </c>
      <c r="AH75" s="63" t="e">
        <v>#REF!</v>
      </c>
      <c r="AI75" s="63" t="e">
        <v>#REF!</v>
      </c>
      <c r="AJ75" s="63" t="e">
        <v>#REF!</v>
      </c>
      <c r="AK75" s="63" t="e">
        <v>#REF!</v>
      </c>
      <c r="AL75" s="63" t="e">
        <v>#REF!</v>
      </c>
      <c r="AM75" s="63" t="e">
        <v>#REF!</v>
      </c>
      <c r="AN75" s="63" t="e">
        <v>#REF!</v>
      </c>
      <c r="AO75" s="63" t="e">
        <v>#REF!</v>
      </c>
      <c r="AP75" s="63" t="e">
        <v>#REF!</v>
      </c>
      <c r="AQ75" s="63" t="e">
        <v>#REF!</v>
      </c>
      <c r="AR75" s="63" t="e">
        <v>#REF!</v>
      </c>
      <c r="AS75" s="63" t="e">
        <v>#REF!</v>
      </c>
      <c r="AT75" s="63" t="e">
        <v>#REF!</v>
      </c>
      <c r="AU75" s="63" t="e">
        <v>#REF!</v>
      </c>
      <c r="AV75" s="63" t="e">
        <v>#REF!</v>
      </c>
      <c r="AX75" s="63" t="e">
        <v>#REF!</v>
      </c>
      <c r="AY75" s="63" t="e">
        <v>#REF!</v>
      </c>
      <c r="AZ75" s="63" t="e">
        <v>#REF!</v>
      </c>
      <c r="BA75" s="63" t="e">
        <v>#REF!</v>
      </c>
      <c r="BB75" s="63" t="e">
        <v>#REF!</v>
      </c>
      <c r="BC75" s="63" t="e">
        <v>#REF!</v>
      </c>
      <c r="BD75" s="63" t="e">
        <v>#REF!</v>
      </c>
      <c r="BE75" s="63" t="e">
        <v>#REF!</v>
      </c>
      <c r="BF75" s="63" t="e">
        <v>#REF!</v>
      </c>
      <c r="BG75" s="63" t="e">
        <v>#REF!</v>
      </c>
      <c r="BH75" s="63" t="e">
        <v>#REF!</v>
      </c>
      <c r="BI75" s="63" t="e">
        <v>#REF!</v>
      </c>
      <c r="BJ75" s="63" t="e">
        <v>#REF!</v>
      </c>
      <c r="BK75" s="63" t="e">
        <v>#REF!</v>
      </c>
    </row>
    <row r="76" spans="2:63">
      <c r="B76" s="92" t="e">
        <v>#REF!</v>
      </c>
      <c r="C76" s="92" t="e">
        <v>#REF!</v>
      </c>
      <c r="E76" s="92" t="e">
        <v>#REF!</v>
      </c>
      <c r="F76" s="92" t="e">
        <v>#REF!</v>
      </c>
      <c r="M76" s="63" t="e">
        <v>#REF!</v>
      </c>
      <c r="N76" s="63" t="e">
        <v>#REF!</v>
      </c>
      <c r="O76" s="63" t="e">
        <v>#REF!</v>
      </c>
      <c r="P76" s="63" t="e">
        <v>#REF!</v>
      </c>
      <c r="Q76" s="63" t="e">
        <v>#REF!</v>
      </c>
      <c r="R76" s="63" t="e">
        <v>#REF!</v>
      </c>
      <c r="S76" s="63" t="e">
        <v>#REF!</v>
      </c>
      <c r="T76" s="63" t="e">
        <v>#REF!</v>
      </c>
      <c r="U76" s="63" t="e">
        <v>#REF!</v>
      </c>
      <c r="V76" s="63" t="e">
        <v>#REF!</v>
      </c>
      <c r="W76" s="63" t="e">
        <v>#REF!</v>
      </c>
      <c r="X76" s="63" t="e">
        <v>#REF!</v>
      </c>
      <c r="Y76" s="63" t="e">
        <v>#REF!</v>
      </c>
      <c r="Z76" s="63" t="e">
        <v>#REF!</v>
      </c>
      <c r="AA76" s="63" t="e">
        <v>#REF!</v>
      </c>
      <c r="AB76" s="63" t="e">
        <v>#REF!</v>
      </c>
      <c r="AC76" s="63" t="e">
        <v>#REF!</v>
      </c>
      <c r="AD76" s="63" t="e">
        <v>#REF!</v>
      </c>
      <c r="AE76" s="63" t="e">
        <v>#REF!</v>
      </c>
      <c r="AF76" s="63" t="e">
        <v>#REF!</v>
      </c>
      <c r="AH76" s="63" t="e">
        <v>#REF!</v>
      </c>
      <c r="AI76" s="63" t="e">
        <v>#REF!</v>
      </c>
      <c r="AJ76" s="63" t="e">
        <v>#REF!</v>
      </c>
      <c r="AK76" s="63" t="e">
        <v>#REF!</v>
      </c>
      <c r="AL76" s="63" t="e">
        <v>#REF!</v>
      </c>
      <c r="AM76" s="63" t="e">
        <v>#REF!</v>
      </c>
      <c r="AN76" s="63" t="e">
        <v>#REF!</v>
      </c>
      <c r="AO76" s="63" t="e">
        <v>#REF!</v>
      </c>
      <c r="AP76" s="63" t="e">
        <v>#REF!</v>
      </c>
      <c r="AQ76" s="63" t="e">
        <v>#REF!</v>
      </c>
      <c r="AR76" s="63" t="e">
        <v>#REF!</v>
      </c>
      <c r="AS76" s="63" t="e">
        <v>#REF!</v>
      </c>
      <c r="AT76" s="63" t="e">
        <v>#REF!</v>
      </c>
      <c r="AU76" s="63" t="e">
        <v>#REF!</v>
      </c>
      <c r="AV76" s="63" t="e">
        <v>#REF!</v>
      </c>
      <c r="AX76" s="63" t="e">
        <v>#REF!</v>
      </c>
      <c r="AY76" s="63" t="e">
        <v>#REF!</v>
      </c>
      <c r="AZ76" s="63" t="e">
        <v>#REF!</v>
      </c>
      <c r="BA76" s="63" t="e">
        <v>#REF!</v>
      </c>
      <c r="BB76" s="63" t="e">
        <v>#REF!</v>
      </c>
      <c r="BC76" s="63" t="e">
        <v>#REF!</v>
      </c>
      <c r="BD76" s="63" t="e">
        <v>#REF!</v>
      </c>
      <c r="BE76" s="63" t="e">
        <v>#REF!</v>
      </c>
      <c r="BF76" s="63" t="e">
        <v>#REF!</v>
      </c>
      <c r="BG76" s="63" t="e">
        <v>#REF!</v>
      </c>
      <c r="BH76" s="63" t="e">
        <v>#REF!</v>
      </c>
      <c r="BI76" s="63" t="e">
        <v>#REF!</v>
      </c>
      <c r="BJ76" s="63" t="e">
        <v>#REF!</v>
      </c>
      <c r="BK76" s="63" t="e">
        <v>#REF!</v>
      </c>
    </row>
    <row r="77" spans="2:63">
      <c r="B77" s="92" t="e">
        <v>#REF!</v>
      </c>
      <c r="C77" s="92" t="e">
        <v>#REF!</v>
      </c>
      <c r="E77" s="92" t="e">
        <v>#REF!</v>
      </c>
      <c r="F77" s="92" t="e">
        <v>#REF!</v>
      </c>
      <c r="M77" s="63" t="e">
        <v>#REF!</v>
      </c>
      <c r="N77" s="63" t="e">
        <v>#REF!</v>
      </c>
      <c r="O77" s="63" t="e">
        <v>#REF!</v>
      </c>
      <c r="P77" s="63" t="e">
        <v>#REF!</v>
      </c>
      <c r="Q77" s="63" t="e">
        <v>#REF!</v>
      </c>
      <c r="R77" s="63" t="e">
        <v>#REF!</v>
      </c>
      <c r="S77" s="63" t="e">
        <v>#REF!</v>
      </c>
      <c r="T77" s="63" t="e">
        <v>#REF!</v>
      </c>
      <c r="U77" s="63" t="e">
        <v>#REF!</v>
      </c>
      <c r="V77" s="63" t="e">
        <v>#REF!</v>
      </c>
      <c r="W77" s="63" t="e">
        <v>#REF!</v>
      </c>
      <c r="X77" s="63" t="e">
        <v>#REF!</v>
      </c>
      <c r="Y77" s="63" t="e">
        <v>#REF!</v>
      </c>
      <c r="Z77" s="63" t="e">
        <v>#REF!</v>
      </c>
      <c r="AA77" s="63" t="e">
        <v>#REF!</v>
      </c>
      <c r="AB77" s="63" t="e">
        <v>#REF!</v>
      </c>
      <c r="AC77" s="63" t="e">
        <v>#REF!</v>
      </c>
      <c r="AD77" s="63" t="e">
        <v>#REF!</v>
      </c>
      <c r="AE77" s="63" t="e">
        <v>#REF!</v>
      </c>
      <c r="AF77" s="63" t="e">
        <v>#REF!</v>
      </c>
      <c r="AH77" s="63" t="e">
        <v>#REF!</v>
      </c>
      <c r="AI77" s="63" t="e">
        <v>#REF!</v>
      </c>
      <c r="AJ77" s="63" t="e">
        <v>#REF!</v>
      </c>
      <c r="AK77" s="63" t="e">
        <v>#REF!</v>
      </c>
      <c r="AL77" s="63" t="e">
        <v>#REF!</v>
      </c>
      <c r="AM77" s="63" t="e">
        <v>#REF!</v>
      </c>
      <c r="AN77" s="63" t="e">
        <v>#REF!</v>
      </c>
      <c r="AO77" s="63" t="e">
        <v>#REF!</v>
      </c>
      <c r="AP77" s="63" t="e">
        <v>#REF!</v>
      </c>
      <c r="AQ77" s="63" t="e">
        <v>#REF!</v>
      </c>
      <c r="AR77" s="63" t="e">
        <v>#REF!</v>
      </c>
      <c r="AS77" s="63" t="e">
        <v>#REF!</v>
      </c>
      <c r="AT77" s="63" t="e">
        <v>#REF!</v>
      </c>
      <c r="AU77" s="63" t="e">
        <v>#REF!</v>
      </c>
      <c r="AV77" s="63" t="e">
        <v>#REF!</v>
      </c>
      <c r="AX77" s="63" t="e">
        <v>#REF!</v>
      </c>
      <c r="AY77" s="63" t="e">
        <v>#REF!</v>
      </c>
      <c r="AZ77" s="63" t="e">
        <v>#REF!</v>
      </c>
      <c r="BA77" s="63" t="e">
        <v>#REF!</v>
      </c>
      <c r="BB77" s="63" t="e">
        <v>#REF!</v>
      </c>
      <c r="BC77" s="63" t="e">
        <v>#REF!</v>
      </c>
      <c r="BD77" s="63" t="e">
        <v>#REF!</v>
      </c>
      <c r="BE77" s="63" t="e">
        <v>#REF!</v>
      </c>
      <c r="BF77" s="63" t="e">
        <v>#REF!</v>
      </c>
      <c r="BG77" s="63" t="e">
        <v>#REF!</v>
      </c>
      <c r="BH77" s="63" t="e">
        <v>#REF!</v>
      </c>
      <c r="BI77" s="63" t="e">
        <v>#REF!</v>
      </c>
      <c r="BJ77" s="63" t="e">
        <v>#REF!</v>
      </c>
      <c r="BK77" s="63" t="e">
        <v>#REF!</v>
      </c>
    </row>
    <row r="78" spans="2:63">
      <c r="B78" s="92" t="e">
        <v>#REF!</v>
      </c>
      <c r="C78" s="92" t="e">
        <v>#REF!</v>
      </c>
      <c r="E78" s="92" t="e">
        <v>#REF!</v>
      </c>
      <c r="F78" s="92" t="e">
        <v>#REF!</v>
      </c>
      <c r="M78" s="63" t="e">
        <v>#REF!</v>
      </c>
      <c r="N78" s="63" t="e">
        <v>#REF!</v>
      </c>
      <c r="O78" s="63" t="e">
        <v>#REF!</v>
      </c>
      <c r="P78" s="63" t="e">
        <v>#REF!</v>
      </c>
      <c r="Q78" s="63" t="e">
        <v>#REF!</v>
      </c>
      <c r="R78" s="63" t="e">
        <v>#REF!</v>
      </c>
      <c r="S78" s="63" t="e">
        <v>#REF!</v>
      </c>
      <c r="T78" s="63" t="e">
        <v>#REF!</v>
      </c>
      <c r="U78" s="63" t="e">
        <v>#REF!</v>
      </c>
      <c r="V78" s="63" t="e">
        <v>#REF!</v>
      </c>
      <c r="W78" s="63" t="e">
        <v>#REF!</v>
      </c>
      <c r="X78" s="63" t="e">
        <v>#REF!</v>
      </c>
      <c r="Y78" s="63" t="e">
        <v>#REF!</v>
      </c>
      <c r="Z78" s="63" t="e">
        <v>#REF!</v>
      </c>
      <c r="AA78" s="63" t="e">
        <v>#REF!</v>
      </c>
      <c r="AB78" s="63" t="e">
        <v>#REF!</v>
      </c>
      <c r="AC78" s="63" t="e">
        <v>#REF!</v>
      </c>
      <c r="AD78" s="63" t="e">
        <v>#REF!</v>
      </c>
      <c r="AE78" s="63" t="e">
        <v>#REF!</v>
      </c>
      <c r="AF78" s="63" t="e">
        <v>#REF!</v>
      </c>
      <c r="AH78" s="63" t="e">
        <v>#REF!</v>
      </c>
      <c r="AI78" s="63" t="e">
        <v>#REF!</v>
      </c>
      <c r="AJ78" s="63" t="e">
        <v>#REF!</v>
      </c>
      <c r="AK78" s="63" t="e">
        <v>#REF!</v>
      </c>
      <c r="AL78" s="63" t="e">
        <v>#REF!</v>
      </c>
      <c r="AM78" s="63" t="e">
        <v>#REF!</v>
      </c>
      <c r="AN78" s="63" t="e">
        <v>#REF!</v>
      </c>
      <c r="AO78" s="63" t="e">
        <v>#REF!</v>
      </c>
      <c r="AP78" s="63" t="e">
        <v>#REF!</v>
      </c>
      <c r="AQ78" s="63" t="e">
        <v>#REF!</v>
      </c>
      <c r="AR78" s="63" t="e">
        <v>#REF!</v>
      </c>
      <c r="AS78" s="63" t="e">
        <v>#REF!</v>
      </c>
      <c r="AT78" s="63" t="e">
        <v>#REF!</v>
      </c>
      <c r="AU78" s="63" t="e">
        <v>#REF!</v>
      </c>
      <c r="AV78" s="63" t="e">
        <v>#REF!</v>
      </c>
      <c r="AX78" s="63" t="e">
        <v>#REF!</v>
      </c>
      <c r="AY78" s="63" t="e">
        <v>#REF!</v>
      </c>
      <c r="AZ78" s="63" t="e">
        <v>#REF!</v>
      </c>
      <c r="BA78" s="63" t="e">
        <v>#REF!</v>
      </c>
      <c r="BB78" s="63" t="e">
        <v>#REF!</v>
      </c>
      <c r="BC78" s="63" t="e">
        <v>#REF!</v>
      </c>
      <c r="BD78" s="63" t="e">
        <v>#REF!</v>
      </c>
      <c r="BE78" s="63" t="e">
        <v>#REF!</v>
      </c>
      <c r="BF78" s="63" t="e">
        <v>#REF!</v>
      </c>
      <c r="BG78" s="63" t="e">
        <v>#REF!</v>
      </c>
      <c r="BH78" s="63" t="e">
        <v>#REF!</v>
      </c>
      <c r="BI78" s="63" t="e">
        <v>#REF!</v>
      </c>
      <c r="BJ78" s="63" t="e">
        <v>#REF!</v>
      </c>
      <c r="BK78" s="63" t="e">
        <v>#REF!</v>
      </c>
    </row>
    <row r="79" spans="2:63">
      <c r="B79" s="92" t="e">
        <v>#REF!</v>
      </c>
      <c r="C79" s="92" t="e">
        <v>#REF!</v>
      </c>
      <c r="E79" s="92" t="e">
        <v>#REF!</v>
      </c>
      <c r="F79" s="92" t="e">
        <v>#REF!</v>
      </c>
      <c r="M79" s="63" t="e">
        <v>#REF!</v>
      </c>
      <c r="N79" s="63" t="e">
        <v>#REF!</v>
      </c>
      <c r="O79" s="63" t="e">
        <v>#REF!</v>
      </c>
      <c r="P79" s="63" t="e">
        <v>#REF!</v>
      </c>
      <c r="Q79" s="63" t="e">
        <v>#REF!</v>
      </c>
      <c r="R79" s="63" t="e">
        <v>#REF!</v>
      </c>
      <c r="S79" s="63" t="e">
        <v>#REF!</v>
      </c>
      <c r="T79" s="63" t="e">
        <v>#REF!</v>
      </c>
      <c r="U79" s="63" t="e">
        <v>#REF!</v>
      </c>
      <c r="V79" s="63" t="e">
        <v>#REF!</v>
      </c>
      <c r="W79" s="63" t="e">
        <v>#REF!</v>
      </c>
      <c r="X79" s="63" t="e">
        <v>#REF!</v>
      </c>
      <c r="Y79" s="63" t="e">
        <v>#REF!</v>
      </c>
      <c r="Z79" s="63" t="e">
        <v>#REF!</v>
      </c>
      <c r="AA79" s="63" t="e">
        <v>#REF!</v>
      </c>
      <c r="AB79" s="63" t="e">
        <v>#REF!</v>
      </c>
      <c r="AC79" s="63" t="e">
        <v>#REF!</v>
      </c>
      <c r="AD79" s="63" t="e">
        <v>#REF!</v>
      </c>
      <c r="AE79" s="63" t="e">
        <v>#REF!</v>
      </c>
      <c r="AF79" s="63" t="e">
        <v>#REF!</v>
      </c>
      <c r="AH79" s="63" t="e">
        <v>#REF!</v>
      </c>
      <c r="AI79" s="63" t="e">
        <v>#REF!</v>
      </c>
      <c r="AJ79" s="63" t="e">
        <v>#REF!</v>
      </c>
      <c r="AK79" s="63" t="e">
        <v>#REF!</v>
      </c>
      <c r="AL79" s="63" t="e">
        <v>#REF!</v>
      </c>
      <c r="AM79" s="63" t="e">
        <v>#REF!</v>
      </c>
      <c r="AN79" s="63" t="e">
        <v>#REF!</v>
      </c>
      <c r="AO79" s="63" t="e">
        <v>#REF!</v>
      </c>
      <c r="AP79" s="63" t="e">
        <v>#REF!</v>
      </c>
      <c r="AQ79" s="63" t="e">
        <v>#REF!</v>
      </c>
      <c r="AR79" s="63" t="e">
        <v>#REF!</v>
      </c>
      <c r="AS79" s="63" t="e">
        <v>#REF!</v>
      </c>
      <c r="AT79" s="63" t="e">
        <v>#REF!</v>
      </c>
      <c r="AU79" s="63" t="e">
        <v>#REF!</v>
      </c>
      <c r="AV79" s="63" t="e">
        <v>#REF!</v>
      </c>
      <c r="AX79" s="63" t="e">
        <v>#REF!</v>
      </c>
      <c r="AY79" s="63" t="e">
        <v>#REF!</v>
      </c>
      <c r="AZ79" s="63" t="e">
        <v>#REF!</v>
      </c>
      <c r="BA79" s="63" t="e">
        <v>#REF!</v>
      </c>
      <c r="BB79" s="63" t="e">
        <v>#REF!</v>
      </c>
      <c r="BC79" s="63" t="e">
        <v>#REF!</v>
      </c>
      <c r="BD79" s="63" t="e">
        <v>#REF!</v>
      </c>
      <c r="BE79" s="63" t="e">
        <v>#REF!</v>
      </c>
      <c r="BF79" s="63" t="e">
        <v>#REF!</v>
      </c>
      <c r="BG79" s="63" t="e">
        <v>#REF!</v>
      </c>
      <c r="BH79" s="63" t="e">
        <v>#REF!</v>
      </c>
      <c r="BI79" s="63" t="e">
        <v>#REF!</v>
      </c>
      <c r="BJ79" s="63" t="e">
        <v>#REF!</v>
      </c>
      <c r="BK79" s="63" t="e">
        <v>#REF!</v>
      </c>
    </row>
    <row r="80" spans="2:63">
      <c r="B80" s="92" t="e">
        <v>#REF!</v>
      </c>
      <c r="C80" s="92" t="e">
        <v>#REF!</v>
      </c>
      <c r="E80" s="92" t="e">
        <v>#REF!</v>
      </c>
      <c r="F80" s="92" t="e">
        <v>#REF!</v>
      </c>
      <c r="M80" s="63" t="e">
        <v>#REF!</v>
      </c>
      <c r="N80" s="63" t="e">
        <v>#REF!</v>
      </c>
      <c r="O80" s="63" t="e">
        <v>#REF!</v>
      </c>
      <c r="P80" s="63" t="e">
        <v>#REF!</v>
      </c>
      <c r="Q80" s="63" t="e">
        <v>#REF!</v>
      </c>
      <c r="R80" s="63" t="e">
        <v>#REF!</v>
      </c>
      <c r="S80" s="63" t="e">
        <v>#REF!</v>
      </c>
      <c r="T80" s="63" t="e">
        <v>#REF!</v>
      </c>
      <c r="U80" s="63" t="e">
        <v>#REF!</v>
      </c>
      <c r="V80" s="63" t="e">
        <v>#REF!</v>
      </c>
      <c r="W80" s="63" t="e">
        <v>#REF!</v>
      </c>
      <c r="X80" s="63" t="e">
        <v>#REF!</v>
      </c>
      <c r="Y80" s="63" t="e">
        <v>#REF!</v>
      </c>
      <c r="Z80" s="63" t="e">
        <v>#REF!</v>
      </c>
      <c r="AA80" s="63" t="e">
        <v>#REF!</v>
      </c>
      <c r="AB80" s="63" t="e">
        <v>#REF!</v>
      </c>
      <c r="AC80" s="63" t="e">
        <v>#REF!</v>
      </c>
      <c r="AD80" s="63" t="e">
        <v>#REF!</v>
      </c>
      <c r="AE80" s="63" t="e">
        <v>#REF!</v>
      </c>
      <c r="AF80" s="63" t="e">
        <v>#REF!</v>
      </c>
      <c r="AH80" s="63" t="e">
        <v>#REF!</v>
      </c>
      <c r="AI80" s="63" t="e">
        <v>#REF!</v>
      </c>
      <c r="AJ80" s="63" t="e">
        <v>#REF!</v>
      </c>
      <c r="AK80" s="63" t="e">
        <v>#REF!</v>
      </c>
      <c r="AL80" s="63" t="e">
        <v>#REF!</v>
      </c>
      <c r="AM80" s="63" t="e">
        <v>#REF!</v>
      </c>
      <c r="AN80" s="63" t="e">
        <v>#REF!</v>
      </c>
      <c r="AO80" s="63" t="e">
        <v>#REF!</v>
      </c>
      <c r="AP80" s="63" t="e">
        <v>#REF!</v>
      </c>
      <c r="AQ80" s="63" t="e">
        <v>#REF!</v>
      </c>
      <c r="AR80" s="63" t="e">
        <v>#REF!</v>
      </c>
      <c r="AS80" s="63" t="e">
        <v>#REF!</v>
      </c>
      <c r="AT80" s="63" t="e">
        <v>#REF!</v>
      </c>
      <c r="AU80" s="63" t="e">
        <v>#REF!</v>
      </c>
      <c r="AV80" s="63" t="e">
        <v>#REF!</v>
      </c>
      <c r="AX80" s="63" t="e">
        <v>#REF!</v>
      </c>
      <c r="AY80" s="63" t="e">
        <v>#REF!</v>
      </c>
      <c r="AZ80" s="63" t="e">
        <v>#REF!</v>
      </c>
      <c r="BA80" s="63" t="e">
        <v>#REF!</v>
      </c>
      <c r="BB80" s="63" t="e">
        <v>#REF!</v>
      </c>
      <c r="BC80" s="63" t="e">
        <v>#REF!</v>
      </c>
      <c r="BD80" s="63" t="e">
        <v>#REF!</v>
      </c>
      <c r="BE80" s="63" t="e">
        <v>#REF!</v>
      </c>
      <c r="BF80" s="63" t="e">
        <v>#REF!</v>
      </c>
      <c r="BG80" s="63" t="e">
        <v>#REF!</v>
      </c>
      <c r="BH80" s="63" t="e">
        <v>#REF!</v>
      </c>
      <c r="BI80" s="63" t="e">
        <v>#REF!</v>
      </c>
      <c r="BJ80" s="63" t="e">
        <v>#REF!</v>
      </c>
      <c r="BK80" s="63" t="e">
        <v>#REF!</v>
      </c>
    </row>
    <row r="81" spans="2:63">
      <c r="B81" s="92" t="e">
        <v>#REF!</v>
      </c>
      <c r="C81" s="92" t="e">
        <v>#REF!</v>
      </c>
      <c r="E81" s="92" t="e">
        <v>#REF!</v>
      </c>
      <c r="F81" s="92" t="e">
        <v>#REF!</v>
      </c>
      <c r="M81" s="63" t="e">
        <v>#REF!</v>
      </c>
      <c r="N81" s="63" t="e">
        <v>#REF!</v>
      </c>
      <c r="O81" s="63" t="e">
        <v>#REF!</v>
      </c>
      <c r="P81" s="63" t="e">
        <v>#REF!</v>
      </c>
      <c r="Q81" s="63" t="e">
        <v>#REF!</v>
      </c>
      <c r="R81" s="63" t="e">
        <v>#REF!</v>
      </c>
      <c r="S81" s="63" t="e">
        <v>#REF!</v>
      </c>
      <c r="T81" s="63" t="e">
        <v>#REF!</v>
      </c>
      <c r="U81" s="63" t="e">
        <v>#REF!</v>
      </c>
      <c r="V81" s="63" t="e">
        <v>#REF!</v>
      </c>
      <c r="W81" s="63" t="e">
        <v>#REF!</v>
      </c>
      <c r="X81" s="63" t="e">
        <v>#REF!</v>
      </c>
      <c r="Y81" s="63" t="e">
        <v>#REF!</v>
      </c>
      <c r="Z81" s="63" t="e">
        <v>#REF!</v>
      </c>
      <c r="AA81" s="63" t="e">
        <v>#REF!</v>
      </c>
      <c r="AB81" s="63" t="e">
        <v>#REF!</v>
      </c>
      <c r="AC81" s="63" t="e">
        <v>#REF!</v>
      </c>
      <c r="AD81" s="63" t="e">
        <v>#REF!</v>
      </c>
      <c r="AE81" s="63" t="e">
        <v>#REF!</v>
      </c>
      <c r="AF81" s="63" t="e">
        <v>#REF!</v>
      </c>
      <c r="AH81" s="63" t="e">
        <v>#REF!</v>
      </c>
      <c r="AI81" s="63" t="e">
        <v>#REF!</v>
      </c>
      <c r="AJ81" s="63" t="e">
        <v>#REF!</v>
      </c>
      <c r="AK81" s="63" t="e">
        <v>#REF!</v>
      </c>
      <c r="AL81" s="63" t="e">
        <v>#REF!</v>
      </c>
      <c r="AM81" s="63" t="e">
        <v>#REF!</v>
      </c>
      <c r="AN81" s="63" t="e">
        <v>#REF!</v>
      </c>
      <c r="AO81" s="63" t="e">
        <v>#REF!</v>
      </c>
      <c r="AP81" s="63" t="e">
        <v>#REF!</v>
      </c>
      <c r="AQ81" s="63" t="e">
        <v>#REF!</v>
      </c>
      <c r="AR81" s="63" t="e">
        <v>#REF!</v>
      </c>
      <c r="AS81" s="63" t="e">
        <v>#REF!</v>
      </c>
      <c r="AT81" s="63" t="e">
        <v>#REF!</v>
      </c>
      <c r="AU81" s="63" t="e">
        <v>#REF!</v>
      </c>
      <c r="AV81" s="63" t="e">
        <v>#REF!</v>
      </c>
      <c r="AX81" s="63" t="e">
        <v>#REF!</v>
      </c>
      <c r="AY81" s="63" t="e">
        <v>#REF!</v>
      </c>
      <c r="AZ81" s="63" t="e">
        <v>#REF!</v>
      </c>
      <c r="BA81" s="63" t="e">
        <v>#REF!</v>
      </c>
      <c r="BB81" s="63" t="e">
        <v>#REF!</v>
      </c>
      <c r="BC81" s="63" t="e">
        <v>#REF!</v>
      </c>
      <c r="BD81" s="63" t="e">
        <v>#REF!</v>
      </c>
      <c r="BE81" s="63" t="e">
        <v>#REF!</v>
      </c>
      <c r="BF81" s="63" t="e">
        <v>#REF!</v>
      </c>
      <c r="BG81" s="63" t="e">
        <v>#REF!</v>
      </c>
      <c r="BH81" s="63" t="e">
        <v>#REF!</v>
      </c>
      <c r="BI81" s="63" t="e">
        <v>#REF!</v>
      </c>
      <c r="BJ81" s="63" t="e">
        <v>#REF!</v>
      </c>
      <c r="BK81" s="63" t="e">
        <v>#REF!</v>
      </c>
    </row>
    <row r="82" spans="2:63">
      <c r="B82" s="92" t="e">
        <v>#REF!</v>
      </c>
      <c r="C82" s="92" t="e">
        <v>#REF!</v>
      </c>
      <c r="E82" s="92" t="e">
        <v>#REF!</v>
      </c>
      <c r="F82" s="92" t="e">
        <v>#REF!</v>
      </c>
      <c r="M82" s="63" t="e">
        <v>#REF!</v>
      </c>
      <c r="N82" s="63" t="e">
        <v>#REF!</v>
      </c>
      <c r="O82" s="63" t="e">
        <v>#REF!</v>
      </c>
      <c r="P82" s="63" t="e">
        <v>#REF!</v>
      </c>
      <c r="Q82" s="63" t="e">
        <v>#REF!</v>
      </c>
      <c r="R82" s="63" t="e">
        <v>#REF!</v>
      </c>
      <c r="S82" s="63" t="e">
        <v>#REF!</v>
      </c>
      <c r="T82" s="63" t="e">
        <v>#REF!</v>
      </c>
      <c r="U82" s="63" t="e">
        <v>#REF!</v>
      </c>
      <c r="V82" s="63" t="e">
        <v>#REF!</v>
      </c>
      <c r="W82" s="63" t="e">
        <v>#REF!</v>
      </c>
      <c r="X82" s="63" t="e">
        <v>#REF!</v>
      </c>
      <c r="Y82" s="63" t="e">
        <v>#REF!</v>
      </c>
      <c r="Z82" s="63" t="e">
        <v>#REF!</v>
      </c>
      <c r="AA82" s="63" t="e">
        <v>#REF!</v>
      </c>
      <c r="AB82" s="63" t="e">
        <v>#REF!</v>
      </c>
      <c r="AC82" s="63" t="e">
        <v>#REF!</v>
      </c>
      <c r="AD82" s="63" t="e">
        <v>#REF!</v>
      </c>
      <c r="AE82" s="63" t="e">
        <v>#REF!</v>
      </c>
      <c r="AF82" s="63" t="e">
        <v>#REF!</v>
      </c>
      <c r="AH82" s="63" t="e">
        <v>#REF!</v>
      </c>
      <c r="AI82" s="63" t="e">
        <v>#REF!</v>
      </c>
      <c r="AJ82" s="63" t="e">
        <v>#REF!</v>
      </c>
      <c r="AK82" s="63" t="e">
        <v>#REF!</v>
      </c>
      <c r="AL82" s="63" t="e">
        <v>#REF!</v>
      </c>
      <c r="AM82" s="63" t="e">
        <v>#REF!</v>
      </c>
      <c r="AN82" s="63" t="e">
        <v>#REF!</v>
      </c>
      <c r="AO82" s="63" t="e">
        <v>#REF!</v>
      </c>
      <c r="AP82" s="63" t="e">
        <v>#REF!</v>
      </c>
      <c r="AQ82" s="63" t="e">
        <v>#REF!</v>
      </c>
      <c r="AR82" s="63" t="e">
        <v>#REF!</v>
      </c>
      <c r="AS82" s="63" t="e">
        <v>#REF!</v>
      </c>
      <c r="AT82" s="63" t="e">
        <v>#REF!</v>
      </c>
      <c r="AU82" s="63" t="e">
        <v>#REF!</v>
      </c>
      <c r="AV82" s="63" t="e">
        <v>#REF!</v>
      </c>
      <c r="AX82" s="63" t="e">
        <v>#REF!</v>
      </c>
      <c r="AY82" s="63" t="e">
        <v>#REF!</v>
      </c>
      <c r="AZ82" s="63" t="e">
        <v>#REF!</v>
      </c>
      <c r="BA82" s="63" t="e">
        <v>#REF!</v>
      </c>
      <c r="BB82" s="63" t="e">
        <v>#REF!</v>
      </c>
      <c r="BC82" s="63" t="e">
        <v>#REF!</v>
      </c>
      <c r="BD82" s="63" t="e">
        <v>#REF!</v>
      </c>
      <c r="BE82" s="63" t="e">
        <v>#REF!</v>
      </c>
      <c r="BF82" s="63" t="e">
        <v>#REF!</v>
      </c>
      <c r="BG82" s="63" t="e">
        <v>#REF!</v>
      </c>
      <c r="BH82" s="63" t="e">
        <v>#REF!</v>
      </c>
      <c r="BI82" s="63" t="e">
        <v>#REF!</v>
      </c>
      <c r="BJ82" s="63" t="e">
        <v>#REF!</v>
      </c>
      <c r="BK82" s="63" t="e">
        <v>#REF!</v>
      </c>
    </row>
    <row r="83" spans="2:63">
      <c r="B83" s="92" t="e">
        <v>#REF!</v>
      </c>
      <c r="C83" s="92" t="e">
        <v>#REF!</v>
      </c>
      <c r="E83" s="92" t="e">
        <v>#REF!</v>
      </c>
      <c r="F83" s="92" t="e">
        <v>#REF!</v>
      </c>
      <c r="M83" s="63" t="e">
        <v>#REF!</v>
      </c>
      <c r="N83" s="63" t="e">
        <v>#REF!</v>
      </c>
      <c r="O83" s="63" t="e">
        <v>#REF!</v>
      </c>
      <c r="P83" s="63" t="e">
        <v>#REF!</v>
      </c>
      <c r="Q83" s="63" t="e">
        <v>#REF!</v>
      </c>
      <c r="R83" s="63" t="e">
        <v>#REF!</v>
      </c>
      <c r="S83" s="63" t="e">
        <v>#REF!</v>
      </c>
      <c r="T83" s="63" t="e">
        <v>#REF!</v>
      </c>
      <c r="U83" s="63" t="e">
        <v>#REF!</v>
      </c>
      <c r="V83" s="63" t="e">
        <v>#REF!</v>
      </c>
      <c r="W83" s="63" t="e">
        <v>#REF!</v>
      </c>
      <c r="X83" s="63" t="e">
        <v>#REF!</v>
      </c>
      <c r="Y83" s="63" t="e">
        <v>#REF!</v>
      </c>
      <c r="Z83" s="63" t="e">
        <v>#REF!</v>
      </c>
      <c r="AA83" s="63" t="e">
        <v>#REF!</v>
      </c>
      <c r="AB83" s="63" t="e">
        <v>#REF!</v>
      </c>
      <c r="AC83" s="63" t="e">
        <v>#REF!</v>
      </c>
      <c r="AD83" s="63" t="e">
        <v>#REF!</v>
      </c>
      <c r="AE83" s="63" t="e">
        <v>#REF!</v>
      </c>
      <c r="AF83" s="63" t="e">
        <v>#REF!</v>
      </c>
      <c r="AH83" s="63" t="e">
        <v>#REF!</v>
      </c>
      <c r="AI83" s="63" t="e">
        <v>#REF!</v>
      </c>
      <c r="AJ83" s="63" t="e">
        <v>#REF!</v>
      </c>
      <c r="AK83" s="63" t="e">
        <v>#REF!</v>
      </c>
      <c r="AL83" s="63" t="e">
        <v>#REF!</v>
      </c>
      <c r="AM83" s="63" t="e">
        <v>#REF!</v>
      </c>
      <c r="AN83" s="63" t="e">
        <v>#REF!</v>
      </c>
      <c r="AO83" s="63" t="e">
        <v>#REF!</v>
      </c>
      <c r="AP83" s="63" t="e">
        <v>#REF!</v>
      </c>
      <c r="AQ83" s="63" t="e">
        <v>#REF!</v>
      </c>
      <c r="AR83" s="63" t="e">
        <v>#REF!</v>
      </c>
      <c r="AS83" s="63" t="e">
        <v>#REF!</v>
      </c>
      <c r="AT83" s="63" t="e">
        <v>#REF!</v>
      </c>
      <c r="AU83" s="63" t="e">
        <v>#REF!</v>
      </c>
      <c r="AV83" s="63" t="e">
        <v>#REF!</v>
      </c>
      <c r="AX83" s="63" t="e">
        <v>#REF!</v>
      </c>
      <c r="AY83" s="63" t="e">
        <v>#REF!</v>
      </c>
      <c r="AZ83" s="63" t="e">
        <v>#REF!</v>
      </c>
      <c r="BA83" s="63" t="e">
        <v>#REF!</v>
      </c>
      <c r="BB83" s="63" t="e">
        <v>#REF!</v>
      </c>
      <c r="BC83" s="63" t="e">
        <v>#REF!</v>
      </c>
      <c r="BD83" s="63" t="e">
        <v>#REF!</v>
      </c>
      <c r="BE83" s="63" t="e">
        <v>#REF!</v>
      </c>
      <c r="BF83" s="63" t="e">
        <v>#REF!</v>
      </c>
      <c r="BG83" s="63" t="e">
        <v>#REF!</v>
      </c>
      <c r="BH83" s="63" t="e">
        <v>#REF!</v>
      </c>
      <c r="BI83" s="63" t="e">
        <v>#REF!</v>
      </c>
      <c r="BJ83" s="63" t="e">
        <v>#REF!</v>
      </c>
      <c r="BK83" s="63" t="e">
        <v>#REF!</v>
      </c>
    </row>
    <row r="84" spans="2:63">
      <c r="B84" s="92" t="e">
        <v>#REF!</v>
      </c>
      <c r="C84" s="92" t="e">
        <v>#REF!</v>
      </c>
      <c r="E84" s="92" t="e">
        <v>#REF!</v>
      </c>
      <c r="F84" s="92" t="e">
        <v>#REF!</v>
      </c>
      <c r="M84" s="63" t="e">
        <v>#REF!</v>
      </c>
      <c r="N84" s="63" t="e">
        <v>#REF!</v>
      </c>
      <c r="O84" s="63" t="e">
        <v>#REF!</v>
      </c>
      <c r="P84" s="63" t="e">
        <v>#REF!</v>
      </c>
      <c r="Q84" s="63" t="e">
        <v>#REF!</v>
      </c>
      <c r="R84" s="63" t="e">
        <v>#REF!</v>
      </c>
      <c r="S84" s="63" t="e">
        <v>#REF!</v>
      </c>
      <c r="T84" s="63" t="e">
        <v>#REF!</v>
      </c>
      <c r="U84" s="63" t="e">
        <v>#REF!</v>
      </c>
      <c r="V84" s="63" t="e">
        <v>#REF!</v>
      </c>
      <c r="W84" s="63" t="e">
        <v>#REF!</v>
      </c>
      <c r="X84" s="63" t="e">
        <v>#REF!</v>
      </c>
      <c r="Y84" s="63" t="e">
        <v>#REF!</v>
      </c>
      <c r="Z84" s="63" t="e">
        <v>#REF!</v>
      </c>
      <c r="AA84" s="63" t="e">
        <v>#REF!</v>
      </c>
      <c r="AB84" s="63" t="e">
        <v>#REF!</v>
      </c>
      <c r="AC84" s="63" t="e">
        <v>#REF!</v>
      </c>
      <c r="AD84" s="63" t="e">
        <v>#REF!</v>
      </c>
      <c r="AE84" s="63" t="e">
        <v>#REF!</v>
      </c>
      <c r="AF84" s="63" t="e">
        <v>#REF!</v>
      </c>
      <c r="AH84" s="63" t="e">
        <v>#REF!</v>
      </c>
      <c r="AI84" s="63" t="e">
        <v>#REF!</v>
      </c>
      <c r="AJ84" s="63" t="e">
        <v>#REF!</v>
      </c>
      <c r="AK84" s="63" t="e">
        <v>#REF!</v>
      </c>
      <c r="AL84" s="63" t="e">
        <v>#REF!</v>
      </c>
      <c r="AM84" s="63" t="e">
        <v>#REF!</v>
      </c>
      <c r="AN84" s="63" t="e">
        <v>#REF!</v>
      </c>
      <c r="AO84" s="63" t="e">
        <v>#REF!</v>
      </c>
      <c r="AP84" s="63" t="e">
        <v>#REF!</v>
      </c>
      <c r="AQ84" s="63" t="e">
        <v>#REF!</v>
      </c>
      <c r="AR84" s="63" t="e">
        <v>#REF!</v>
      </c>
      <c r="AS84" s="63" t="e">
        <v>#REF!</v>
      </c>
      <c r="AT84" s="63" t="e">
        <v>#REF!</v>
      </c>
      <c r="AU84" s="63" t="e">
        <v>#REF!</v>
      </c>
      <c r="AV84" s="63" t="e">
        <v>#REF!</v>
      </c>
      <c r="AX84" s="63" t="e">
        <v>#REF!</v>
      </c>
      <c r="AY84" s="63" t="e">
        <v>#REF!</v>
      </c>
      <c r="AZ84" s="63" t="e">
        <v>#REF!</v>
      </c>
      <c r="BA84" s="63" t="e">
        <v>#REF!</v>
      </c>
      <c r="BB84" s="63" t="e">
        <v>#REF!</v>
      </c>
      <c r="BC84" s="63" t="e">
        <v>#REF!</v>
      </c>
      <c r="BD84" s="63" t="e">
        <v>#REF!</v>
      </c>
      <c r="BE84" s="63" t="e">
        <v>#REF!</v>
      </c>
      <c r="BF84" s="63" t="e">
        <v>#REF!</v>
      </c>
      <c r="BG84" s="63" t="e">
        <v>#REF!</v>
      </c>
      <c r="BH84" s="63" t="e">
        <v>#REF!</v>
      </c>
      <c r="BI84" s="63" t="e">
        <v>#REF!</v>
      </c>
      <c r="BJ84" s="63" t="e">
        <v>#REF!</v>
      </c>
      <c r="BK84" s="63" t="e">
        <v>#REF!</v>
      </c>
    </row>
    <row r="85" spans="2:63">
      <c r="B85" s="92" t="e">
        <v>#REF!</v>
      </c>
      <c r="C85" s="92" t="e">
        <v>#REF!</v>
      </c>
      <c r="E85" s="92" t="e">
        <v>#REF!</v>
      </c>
      <c r="F85" s="92" t="e">
        <v>#REF!</v>
      </c>
      <c r="M85" s="63" t="e">
        <v>#REF!</v>
      </c>
      <c r="N85" s="63" t="e">
        <v>#REF!</v>
      </c>
      <c r="O85" s="63" t="e">
        <v>#REF!</v>
      </c>
      <c r="P85" s="63" t="e">
        <v>#REF!</v>
      </c>
      <c r="Q85" s="63" t="e">
        <v>#REF!</v>
      </c>
      <c r="R85" s="63" t="e">
        <v>#REF!</v>
      </c>
      <c r="S85" s="63" t="e">
        <v>#REF!</v>
      </c>
      <c r="T85" s="63" t="e">
        <v>#REF!</v>
      </c>
      <c r="U85" s="63" t="e">
        <v>#REF!</v>
      </c>
      <c r="V85" s="63" t="e">
        <v>#REF!</v>
      </c>
      <c r="W85" s="63" t="e">
        <v>#REF!</v>
      </c>
      <c r="X85" s="63" t="e">
        <v>#REF!</v>
      </c>
      <c r="Y85" s="63" t="e">
        <v>#REF!</v>
      </c>
      <c r="Z85" s="63" t="e">
        <v>#REF!</v>
      </c>
      <c r="AA85" s="63" t="e">
        <v>#REF!</v>
      </c>
      <c r="AB85" s="63" t="e">
        <v>#REF!</v>
      </c>
      <c r="AC85" s="63" t="e">
        <v>#REF!</v>
      </c>
      <c r="AD85" s="63" t="e">
        <v>#REF!</v>
      </c>
      <c r="AE85" s="63" t="e">
        <v>#REF!</v>
      </c>
      <c r="AF85" s="63" t="e">
        <v>#REF!</v>
      </c>
      <c r="AH85" s="63" t="e">
        <v>#REF!</v>
      </c>
      <c r="AI85" s="63" t="e">
        <v>#REF!</v>
      </c>
      <c r="AJ85" s="63" t="e">
        <v>#REF!</v>
      </c>
      <c r="AK85" s="63" t="e">
        <v>#REF!</v>
      </c>
      <c r="AL85" s="63" t="e">
        <v>#REF!</v>
      </c>
      <c r="AM85" s="63" t="e">
        <v>#REF!</v>
      </c>
      <c r="AN85" s="63" t="e">
        <v>#REF!</v>
      </c>
      <c r="AO85" s="63" t="e">
        <v>#REF!</v>
      </c>
      <c r="AP85" s="63" t="e">
        <v>#REF!</v>
      </c>
      <c r="AQ85" s="63" t="e">
        <v>#REF!</v>
      </c>
      <c r="AR85" s="63" t="e">
        <v>#REF!</v>
      </c>
      <c r="AS85" s="63" t="e">
        <v>#REF!</v>
      </c>
      <c r="AT85" s="63" t="e">
        <v>#REF!</v>
      </c>
      <c r="AU85" s="63" t="e">
        <v>#REF!</v>
      </c>
      <c r="AV85" s="63" t="e">
        <v>#REF!</v>
      </c>
      <c r="AX85" s="63" t="e">
        <v>#REF!</v>
      </c>
      <c r="AY85" s="63" t="e">
        <v>#REF!</v>
      </c>
      <c r="AZ85" s="63" t="e">
        <v>#REF!</v>
      </c>
      <c r="BA85" s="63" t="e">
        <v>#REF!</v>
      </c>
      <c r="BB85" s="63" t="e">
        <v>#REF!</v>
      </c>
      <c r="BC85" s="63" t="e">
        <v>#REF!</v>
      </c>
      <c r="BD85" s="63" t="e">
        <v>#REF!</v>
      </c>
      <c r="BE85" s="63" t="e">
        <v>#REF!</v>
      </c>
      <c r="BF85" s="63" t="e">
        <v>#REF!</v>
      </c>
      <c r="BG85" s="63" t="e">
        <v>#REF!</v>
      </c>
      <c r="BH85" s="63" t="e">
        <v>#REF!</v>
      </c>
      <c r="BI85" s="63" t="e">
        <v>#REF!</v>
      </c>
      <c r="BJ85" s="63" t="e">
        <v>#REF!</v>
      </c>
      <c r="BK85" s="63" t="e">
        <v>#REF!</v>
      </c>
    </row>
    <row r="86" spans="2:63">
      <c r="B86" s="92" t="e">
        <v>#REF!</v>
      </c>
      <c r="C86" s="92" t="e">
        <v>#REF!</v>
      </c>
      <c r="E86" s="92" t="e">
        <v>#REF!</v>
      </c>
      <c r="F86" s="92" t="e">
        <v>#REF!</v>
      </c>
      <c r="M86" s="63" t="e">
        <v>#REF!</v>
      </c>
      <c r="N86" s="63" t="e">
        <v>#REF!</v>
      </c>
      <c r="O86" s="63" t="e">
        <v>#REF!</v>
      </c>
      <c r="P86" s="63" t="e">
        <v>#REF!</v>
      </c>
      <c r="Q86" s="63" t="e">
        <v>#REF!</v>
      </c>
      <c r="R86" s="63" t="e">
        <v>#REF!</v>
      </c>
      <c r="S86" s="63" t="e">
        <v>#REF!</v>
      </c>
      <c r="T86" s="63" t="e">
        <v>#REF!</v>
      </c>
      <c r="U86" s="63" t="e">
        <v>#REF!</v>
      </c>
      <c r="V86" s="63" t="e">
        <v>#REF!</v>
      </c>
      <c r="W86" s="63" t="e">
        <v>#REF!</v>
      </c>
      <c r="X86" s="63" t="e">
        <v>#REF!</v>
      </c>
      <c r="Y86" s="63" t="e">
        <v>#REF!</v>
      </c>
      <c r="Z86" s="63" t="e">
        <v>#REF!</v>
      </c>
      <c r="AA86" s="63" t="e">
        <v>#REF!</v>
      </c>
      <c r="AB86" s="63" t="e">
        <v>#REF!</v>
      </c>
      <c r="AC86" s="63" t="e">
        <v>#REF!</v>
      </c>
      <c r="AD86" s="63" t="e">
        <v>#REF!</v>
      </c>
      <c r="AE86" s="63" t="e">
        <v>#REF!</v>
      </c>
      <c r="AF86" s="63" t="e">
        <v>#REF!</v>
      </c>
      <c r="AH86" s="63" t="e">
        <v>#REF!</v>
      </c>
      <c r="AI86" s="63" t="e">
        <v>#REF!</v>
      </c>
      <c r="AJ86" s="63" t="e">
        <v>#REF!</v>
      </c>
      <c r="AK86" s="63" t="e">
        <v>#REF!</v>
      </c>
      <c r="AL86" s="63" t="e">
        <v>#REF!</v>
      </c>
      <c r="AM86" s="63" t="e">
        <v>#REF!</v>
      </c>
      <c r="AN86" s="63" t="e">
        <v>#REF!</v>
      </c>
      <c r="AO86" s="63" t="e">
        <v>#REF!</v>
      </c>
      <c r="AP86" s="63" t="e">
        <v>#REF!</v>
      </c>
      <c r="AQ86" s="63" t="e">
        <v>#REF!</v>
      </c>
      <c r="AR86" s="63" t="e">
        <v>#REF!</v>
      </c>
      <c r="AS86" s="63" t="e">
        <v>#REF!</v>
      </c>
      <c r="AT86" s="63" t="e">
        <v>#REF!</v>
      </c>
      <c r="AU86" s="63" t="e">
        <v>#REF!</v>
      </c>
      <c r="AV86" s="63" t="e">
        <v>#REF!</v>
      </c>
      <c r="AX86" s="63" t="e">
        <v>#REF!</v>
      </c>
      <c r="AY86" s="63" t="e">
        <v>#REF!</v>
      </c>
      <c r="AZ86" s="63" t="e">
        <v>#REF!</v>
      </c>
      <c r="BA86" s="63" t="e">
        <v>#REF!</v>
      </c>
      <c r="BB86" s="63" t="e">
        <v>#REF!</v>
      </c>
      <c r="BC86" s="63" t="e">
        <v>#REF!</v>
      </c>
      <c r="BD86" s="63" t="e">
        <v>#REF!</v>
      </c>
      <c r="BE86" s="63" t="e">
        <v>#REF!</v>
      </c>
      <c r="BF86" s="63" t="e">
        <v>#REF!</v>
      </c>
      <c r="BG86" s="63" t="e">
        <v>#REF!</v>
      </c>
      <c r="BH86" s="63" t="e">
        <v>#REF!</v>
      </c>
      <c r="BI86" s="63" t="e">
        <v>#REF!</v>
      </c>
      <c r="BJ86" s="63" t="e">
        <v>#REF!</v>
      </c>
      <c r="BK86" s="63" t="e">
        <v>#REF!</v>
      </c>
    </row>
    <row r="87" spans="2:63">
      <c r="B87" s="92" t="e">
        <v>#REF!</v>
      </c>
      <c r="C87" s="92" t="e">
        <v>#REF!</v>
      </c>
      <c r="E87" s="92" t="e">
        <v>#REF!</v>
      </c>
      <c r="F87" s="92" t="e">
        <v>#REF!</v>
      </c>
      <c r="M87" s="63" t="e">
        <v>#REF!</v>
      </c>
      <c r="N87" s="63" t="e">
        <v>#REF!</v>
      </c>
      <c r="O87" s="63" t="e">
        <v>#REF!</v>
      </c>
      <c r="P87" s="63" t="e">
        <v>#REF!</v>
      </c>
      <c r="Q87" s="63" t="e">
        <v>#REF!</v>
      </c>
      <c r="R87" s="63" t="e">
        <v>#REF!</v>
      </c>
      <c r="S87" s="63" t="e">
        <v>#REF!</v>
      </c>
      <c r="T87" s="63" t="e">
        <v>#REF!</v>
      </c>
      <c r="U87" s="63" t="e">
        <v>#REF!</v>
      </c>
      <c r="V87" s="63" t="e">
        <v>#REF!</v>
      </c>
      <c r="W87" s="63" t="e">
        <v>#REF!</v>
      </c>
      <c r="X87" s="63" t="e">
        <v>#REF!</v>
      </c>
      <c r="Y87" s="63" t="e">
        <v>#REF!</v>
      </c>
      <c r="Z87" s="63" t="e">
        <v>#REF!</v>
      </c>
      <c r="AA87" s="63" t="e">
        <v>#REF!</v>
      </c>
      <c r="AB87" s="63" t="e">
        <v>#REF!</v>
      </c>
      <c r="AC87" s="63" t="e">
        <v>#REF!</v>
      </c>
      <c r="AD87" s="63" t="e">
        <v>#REF!</v>
      </c>
      <c r="AE87" s="63" t="e">
        <v>#REF!</v>
      </c>
      <c r="AF87" s="63" t="e">
        <v>#REF!</v>
      </c>
      <c r="AH87" s="63" t="e">
        <v>#REF!</v>
      </c>
      <c r="AI87" s="63" t="e">
        <v>#REF!</v>
      </c>
      <c r="AJ87" s="63" t="e">
        <v>#REF!</v>
      </c>
      <c r="AK87" s="63" t="e">
        <v>#REF!</v>
      </c>
      <c r="AL87" s="63" t="e">
        <v>#REF!</v>
      </c>
      <c r="AM87" s="63" t="e">
        <v>#REF!</v>
      </c>
      <c r="AN87" s="63" t="e">
        <v>#REF!</v>
      </c>
      <c r="AO87" s="63" t="e">
        <v>#REF!</v>
      </c>
      <c r="AP87" s="63" t="e">
        <v>#REF!</v>
      </c>
      <c r="AQ87" s="63" t="e">
        <v>#REF!</v>
      </c>
      <c r="AR87" s="63" t="e">
        <v>#REF!</v>
      </c>
      <c r="AS87" s="63" t="e">
        <v>#REF!</v>
      </c>
      <c r="AT87" s="63" t="e">
        <v>#REF!</v>
      </c>
      <c r="AU87" s="63" t="e">
        <v>#REF!</v>
      </c>
      <c r="AV87" s="63" t="e">
        <v>#REF!</v>
      </c>
      <c r="AX87" s="63" t="e">
        <v>#REF!</v>
      </c>
      <c r="AY87" s="63" t="e">
        <v>#REF!</v>
      </c>
      <c r="AZ87" s="63" t="e">
        <v>#REF!</v>
      </c>
      <c r="BA87" s="63" t="e">
        <v>#REF!</v>
      </c>
      <c r="BB87" s="63" t="e">
        <v>#REF!</v>
      </c>
      <c r="BC87" s="63" t="e">
        <v>#REF!</v>
      </c>
      <c r="BD87" s="63" t="e">
        <v>#REF!</v>
      </c>
      <c r="BE87" s="63" t="e">
        <v>#REF!</v>
      </c>
      <c r="BF87" s="63" t="e">
        <v>#REF!</v>
      </c>
      <c r="BG87" s="63" t="e">
        <v>#REF!</v>
      </c>
      <c r="BH87" s="63" t="e">
        <v>#REF!</v>
      </c>
      <c r="BI87" s="63" t="e">
        <v>#REF!</v>
      </c>
      <c r="BJ87" s="63" t="e">
        <v>#REF!</v>
      </c>
      <c r="BK87" s="63" t="e">
        <v>#REF!</v>
      </c>
    </row>
    <row r="88" spans="2:63">
      <c r="B88" s="92" t="e">
        <v>#REF!</v>
      </c>
      <c r="C88" s="92" t="e">
        <v>#REF!</v>
      </c>
      <c r="E88" s="92" t="e">
        <v>#REF!</v>
      </c>
      <c r="F88" s="92" t="e">
        <v>#REF!</v>
      </c>
      <c r="M88" s="63" t="e">
        <v>#REF!</v>
      </c>
      <c r="N88" s="63" t="e">
        <v>#REF!</v>
      </c>
      <c r="O88" s="63" t="e">
        <v>#REF!</v>
      </c>
      <c r="P88" s="63" t="e">
        <v>#REF!</v>
      </c>
      <c r="Q88" s="63" t="e">
        <v>#REF!</v>
      </c>
      <c r="R88" s="63" t="e">
        <v>#REF!</v>
      </c>
      <c r="S88" s="63" t="e">
        <v>#REF!</v>
      </c>
      <c r="T88" s="63" t="e">
        <v>#REF!</v>
      </c>
      <c r="U88" s="63" t="e">
        <v>#REF!</v>
      </c>
      <c r="V88" s="63" t="e">
        <v>#REF!</v>
      </c>
      <c r="W88" s="63" t="e">
        <v>#REF!</v>
      </c>
      <c r="X88" s="63" t="e">
        <v>#REF!</v>
      </c>
      <c r="Y88" s="63" t="e">
        <v>#REF!</v>
      </c>
      <c r="Z88" s="63" t="e">
        <v>#REF!</v>
      </c>
      <c r="AA88" s="63" t="e">
        <v>#REF!</v>
      </c>
      <c r="AB88" s="63" t="e">
        <v>#REF!</v>
      </c>
      <c r="AC88" s="63" t="e">
        <v>#REF!</v>
      </c>
      <c r="AD88" s="63" t="e">
        <v>#REF!</v>
      </c>
      <c r="AE88" s="63" t="e">
        <v>#REF!</v>
      </c>
      <c r="AF88" s="63" t="e">
        <v>#REF!</v>
      </c>
      <c r="AH88" s="63" t="e">
        <v>#REF!</v>
      </c>
      <c r="AI88" s="63" t="e">
        <v>#REF!</v>
      </c>
      <c r="AJ88" s="63" t="e">
        <v>#REF!</v>
      </c>
      <c r="AK88" s="63" t="e">
        <v>#REF!</v>
      </c>
      <c r="AL88" s="63" t="e">
        <v>#REF!</v>
      </c>
      <c r="AM88" s="63" t="e">
        <v>#REF!</v>
      </c>
      <c r="AN88" s="63" t="e">
        <v>#REF!</v>
      </c>
      <c r="AO88" s="63" t="e">
        <v>#REF!</v>
      </c>
      <c r="AP88" s="63" t="e">
        <v>#REF!</v>
      </c>
      <c r="AQ88" s="63" t="e">
        <v>#REF!</v>
      </c>
      <c r="AR88" s="63" t="e">
        <v>#REF!</v>
      </c>
      <c r="AS88" s="63" t="e">
        <v>#REF!</v>
      </c>
      <c r="AT88" s="63" t="e">
        <v>#REF!</v>
      </c>
      <c r="AU88" s="63" t="e">
        <v>#REF!</v>
      </c>
      <c r="AV88" s="63" t="e">
        <v>#REF!</v>
      </c>
      <c r="AX88" s="63" t="e">
        <v>#REF!</v>
      </c>
      <c r="AY88" s="63" t="e">
        <v>#REF!</v>
      </c>
      <c r="AZ88" s="63" t="e">
        <v>#REF!</v>
      </c>
      <c r="BA88" s="63" t="e">
        <v>#REF!</v>
      </c>
      <c r="BB88" s="63" t="e">
        <v>#REF!</v>
      </c>
      <c r="BC88" s="63" t="e">
        <v>#REF!</v>
      </c>
      <c r="BD88" s="63" t="e">
        <v>#REF!</v>
      </c>
      <c r="BE88" s="63" t="e">
        <v>#REF!</v>
      </c>
      <c r="BF88" s="63" t="e">
        <v>#REF!</v>
      </c>
      <c r="BG88" s="63" t="e">
        <v>#REF!</v>
      </c>
      <c r="BH88" s="63" t="e">
        <v>#REF!</v>
      </c>
      <c r="BI88" s="63" t="e">
        <v>#REF!</v>
      </c>
      <c r="BJ88" s="63" t="e">
        <v>#REF!</v>
      </c>
      <c r="BK88" s="63" t="e">
        <v>#REF!</v>
      </c>
    </row>
    <row r="89" spans="2:63">
      <c r="B89" s="92" t="e">
        <v>#REF!</v>
      </c>
      <c r="C89" s="92" t="e">
        <v>#REF!</v>
      </c>
      <c r="E89" s="92" t="e">
        <v>#REF!</v>
      </c>
      <c r="F89" s="92" t="e">
        <v>#REF!</v>
      </c>
      <c r="M89" s="63" t="e">
        <v>#REF!</v>
      </c>
      <c r="N89" s="63" t="e">
        <v>#REF!</v>
      </c>
      <c r="O89" s="63" t="e">
        <v>#REF!</v>
      </c>
      <c r="P89" s="63" t="e">
        <v>#REF!</v>
      </c>
      <c r="Q89" s="63" t="e">
        <v>#REF!</v>
      </c>
      <c r="R89" s="63" t="e">
        <v>#REF!</v>
      </c>
      <c r="S89" s="63" t="e">
        <v>#REF!</v>
      </c>
      <c r="T89" s="63" t="e">
        <v>#REF!</v>
      </c>
      <c r="U89" s="63" t="e">
        <v>#REF!</v>
      </c>
      <c r="V89" s="63" t="e">
        <v>#REF!</v>
      </c>
      <c r="W89" s="63" t="e">
        <v>#REF!</v>
      </c>
      <c r="X89" s="63" t="e">
        <v>#REF!</v>
      </c>
      <c r="Y89" s="63" t="e">
        <v>#REF!</v>
      </c>
      <c r="Z89" s="63" t="e">
        <v>#REF!</v>
      </c>
      <c r="AA89" s="63" t="e">
        <v>#REF!</v>
      </c>
      <c r="AB89" s="63" t="e">
        <v>#REF!</v>
      </c>
      <c r="AC89" s="63" t="e">
        <v>#REF!</v>
      </c>
      <c r="AD89" s="63" t="e">
        <v>#REF!</v>
      </c>
      <c r="AE89" s="63" t="e">
        <v>#REF!</v>
      </c>
      <c r="AF89" s="63" t="e">
        <v>#REF!</v>
      </c>
      <c r="AH89" s="63" t="e">
        <v>#REF!</v>
      </c>
      <c r="AI89" s="63" t="e">
        <v>#REF!</v>
      </c>
      <c r="AJ89" s="63" t="e">
        <v>#REF!</v>
      </c>
      <c r="AK89" s="63" t="e">
        <v>#REF!</v>
      </c>
      <c r="AL89" s="63" t="e">
        <v>#REF!</v>
      </c>
      <c r="AM89" s="63" t="e">
        <v>#REF!</v>
      </c>
      <c r="AN89" s="63" t="e">
        <v>#REF!</v>
      </c>
      <c r="AO89" s="63" t="e">
        <v>#REF!</v>
      </c>
      <c r="AP89" s="63" t="e">
        <v>#REF!</v>
      </c>
      <c r="AQ89" s="63" t="e">
        <v>#REF!</v>
      </c>
      <c r="AR89" s="63" t="e">
        <v>#REF!</v>
      </c>
      <c r="AS89" s="63" t="e">
        <v>#REF!</v>
      </c>
      <c r="AT89" s="63" t="e">
        <v>#REF!</v>
      </c>
      <c r="AU89" s="63" t="e">
        <v>#REF!</v>
      </c>
      <c r="AV89" s="63" t="e">
        <v>#REF!</v>
      </c>
      <c r="AX89" s="63" t="e">
        <v>#REF!</v>
      </c>
      <c r="AY89" s="63" t="e">
        <v>#REF!</v>
      </c>
      <c r="AZ89" s="63" t="e">
        <v>#REF!</v>
      </c>
      <c r="BA89" s="63" t="e">
        <v>#REF!</v>
      </c>
      <c r="BB89" s="63" t="e">
        <v>#REF!</v>
      </c>
      <c r="BC89" s="63" t="e">
        <v>#REF!</v>
      </c>
      <c r="BD89" s="63" t="e">
        <v>#REF!</v>
      </c>
      <c r="BE89" s="63" t="e">
        <v>#REF!</v>
      </c>
      <c r="BF89" s="63" t="e">
        <v>#REF!</v>
      </c>
      <c r="BG89" s="63" t="e">
        <v>#REF!</v>
      </c>
      <c r="BH89" s="63" t="e">
        <v>#REF!</v>
      </c>
      <c r="BI89" s="63" t="e">
        <v>#REF!</v>
      </c>
      <c r="BJ89" s="63" t="e">
        <v>#REF!</v>
      </c>
      <c r="BK89" s="63" t="e">
        <v>#REF!</v>
      </c>
    </row>
    <row r="90" spans="2:63">
      <c r="B90" s="92" t="e">
        <v>#REF!</v>
      </c>
      <c r="C90" s="92" t="e">
        <v>#REF!</v>
      </c>
      <c r="E90" s="92" t="e">
        <v>#REF!</v>
      </c>
      <c r="F90" s="92" t="e">
        <v>#REF!</v>
      </c>
      <c r="M90" s="63" t="e">
        <v>#REF!</v>
      </c>
      <c r="N90" s="63" t="e">
        <v>#REF!</v>
      </c>
      <c r="O90" s="63" t="e">
        <v>#REF!</v>
      </c>
      <c r="P90" s="63" t="e">
        <v>#REF!</v>
      </c>
      <c r="Q90" s="63" t="e">
        <v>#REF!</v>
      </c>
      <c r="R90" s="63" t="e">
        <v>#REF!</v>
      </c>
      <c r="S90" s="63" t="e">
        <v>#REF!</v>
      </c>
      <c r="T90" s="63" t="e">
        <v>#REF!</v>
      </c>
      <c r="U90" s="63" t="e">
        <v>#REF!</v>
      </c>
      <c r="V90" s="63" t="e">
        <v>#REF!</v>
      </c>
      <c r="W90" s="63" t="e">
        <v>#REF!</v>
      </c>
      <c r="X90" s="63" t="e">
        <v>#REF!</v>
      </c>
      <c r="Y90" s="63" t="e">
        <v>#REF!</v>
      </c>
      <c r="Z90" s="63" t="e">
        <v>#REF!</v>
      </c>
      <c r="AA90" s="63" t="e">
        <v>#REF!</v>
      </c>
      <c r="AB90" s="63" t="e">
        <v>#REF!</v>
      </c>
      <c r="AC90" s="63" t="e">
        <v>#REF!</v>
      </c>
      <c r="AD90" s="63" t="e">
        <v>#REF!</v>
      </c>
      <c r="AE90" s="63" t="e">
        <v>#REF!</v>
      </c>
      <c r="AF90" s="63" t="e">
        <v>#REF!</v>
      </c>
      <c r="AH90" s="63" t="e">
        <v>#REF!</v>
      </c>
      <c r="AI90" s="63" t="e">
        <v>#REF!</v>
      </c>
      <c r="AJ90" s="63" t="e">
        <v>#REF!</v>
      </c>
      <c r="AK90" s="63" t="e">
        <v>#REF!</v>
      </c>
      <c r="AL90" s="63" t="e">
        <v>#REF!</v>
      </c>
      <c r="AM90" s="63" t="e">
        <v>#REF!</v>
      </c>
      <c r="AN90" s="63" t="e">
        <v>#REF!</v>
      </c>
      <c r="AO90" s="63" t="e">
        <v>#REF!</v>
      </c>
      <c r="AP90" s="63" t="e">
        <v>#REF!</v>
      </c>
      <c r="AQ90" s="63" t="e">
        <v>#REF!</v>
      </c>
      <c r="AR90" s="63" t="e">
        <v>#REF!</v>
      </c>
      <c r="AS90" s="63" t="e">
        <v>#REF!</v>
      </c>
      <c r="AT90" s="63" t="e">
        <v>#REF!</v>
      </c>
      <c r="AU90" s="63" t="e">
        <v>#REF!</v>
      </c>
      <c r="AV90" s="63" t="e">
        <v>#REF!</v>
      </c>
      <c r="AX90" s="63" t="e">
        <v>#REF!</v>
      </c>
      <c r="AY90" s="63" t="e">
        <v>#REF!</v>
      </c>
      <c r="AZ90" s="63" t="e">
        <v>#REF!</v>
      </c>
      <c r="BA90" s="63" t="e">
        <v>#REF!</v>
      </c>
      <c r="BB90" s="63" t="e">
        <v>#REF!</v>
      </c>
      <c r="BC90" s="63" t="e">
        <v>#REF!</v>
      </c>
      <c r="BD90" s="63" t="e">
        <v>#REF!</v>
      </c>
      <c r="BE90" s="63" t="e">
        <v>#REF!</v>
      </c>
      <c r="BF90" s="63" t="e">
        <v>#REF!</v>
      </c>
      <c r="BG90" s="63" t="e">
        <v>#REF!</v>
      </c>
      <c r="BH90" s="63" t="e">
        <v>#REF!</v>
      </c>
      <c r="BI90" s="63" t="e">
        <v>#REF!</v>
      </c>
      <c r="BJ90" s="63" t="e">
        <v>#REF!</v>
      </c>
      <c r="BK90" s="63" t="e">
        <v>#REF!</v>
      </c>
    </row>
    <row r="91" spans="2:63">
      <c r="B91" s="92" t="e">
        <v>#REF!</v>
      </c>
      <c r="C91" s="92" t="e">
        <v>#REF!</v>
      </c>
      <c r="E91" s="92" t="e">
        <v>#REF!</v>
      </c>
      <c r="F91" s="92" t="e">
        <v>#REF!</v>
      </c>
      <c r="M91" s="63" t="e">
        <v>#REF!</v>
      </c>
      <c r="N91" s="63" t="e">
        <v>#REF!</v>
      </c>
      <c r="O91" s="63" t="e">
        <v>#REF!</v>
      </c>
      <c r="P91" s="63" t="e">
        <v>#REF!</v>
      </c>
      <c r="Q91" s="63" t="e">
        <v>#REF!</v>
      </c>
      <c r="R91" s="63" t="e">
        <v>#REF!</v>
      </c>
      <c r="S91" s="63" t="e">
        <v>#REF!</v>
      </c>
      <c r="T91" s="63" t="e">
        <v>#REF!</v>
      </c>
      <c r="U91" s="63" t="e">
        <v>#REF!</v>
      </c>
      <c r="V91" s="63" t="e">
        <v>#REF!</v>
      </c>
      <c r="W91" s="63" t="e">
        <v>#REF!</v>
      </c>
      <c r="X91" s="63" t="e">
        <v>#REF!</v>
      </c>
      <c r="Y91" s="63" t="e">
        <v>#REF!</v>
      </c>
      <c r="Z91" s="63" t="e">
        <v>#REF!</v>
      </c>
      <c r="AA91" s="63" t="e">
        <v>#REF!</v>
      </c>
      <c r="AB91" s="63" t="e">
        <v>#REF!</v>
      </c>
      <c r="AC91" s="63" t="e">
        <v>#REF!</v>
      </c>
      <c r="AD91" s="63" t="e">
        <v>#REF!</v>
      </c>
      <c r="AE91" s="63" t="e">
        <v>#REF!</v>
      </c>
      <c r="AF91" s="63" t="e">
        <v>#REF!</v>
      </c>
      <c r="AH91" s="63" t="e">
        <v>#REF!</v>
      </c>
      <c r="AI91" s="63" t="e">
        <v>#REF!</v>
      </c>
      <c r="AJ91" s="63" t="e">
        <v>#REF!</v>
      </c>
      <c r="AK91" s="63" t="e">
        <v>#REF!</v>
      </c>
      <c r="AL91" s="63" t="e">
        <v>#REF!</v>
      </c>
      <c r="AM91" s="63" t="e">
        <v>#REF!</v>
      </c>
      <c r="AN91" s="63" t="e">
        <v>#REF!</v>
      </c>
      <c r="AO91" s="63" t="e">
        <v>#REF!</v>
      </c>
      <c r="AP91" s="63" t="e">
        <v>#REF!</v>
      </c>
      <c r="AQ91" s="63" t="e">
        <v>#REF!</v>
      </c>
      <c r="AR91" s="63" t="e">
        <v>#REF!</v>
      </c>
      <c r="AS91" s="63" t="e">
        <v>#REF!</v>
      </c>
      <c r="AT91" s="63" t="e">
        <v>#REF!</v>
      </c>
      <c r="AU91" s="63" t="e">
        <v>#REF!</v>
      </c>
      <c r="AV91" s="63" t="e">
        <v>#REF!</v>
      </c>
      <c r="AX91" s="63" t="e">
        <v>#REF!</v>
      </c>
      <c r="AY91" s="63" t="e">
        <v>#REF!</v>
      </c>
      <c r="AZ91" s="63" t="e">
        <v>#REF!</v>
      </c>
      <c r="BA91" s="63" t="e">
        <v>#REF!</v>
      </c>
      <c r="BB91" s="63" t="e">
        <v>#REF!</v>
      </c>
      <c r="BC91" s="63" t="e">
        <v>#REF!</v>
      </c>
      <c r="BD91" s="63" t="e">
        <v>#REF!</v>
      </c>
      <c r="BE91" s="63" t="e">
        <v>#REF!</v>
      </c>
      <c r="BF91" s="63" t="e">
        <v>#REF!</v>
      </c>
      <c r="BG91" s="63" t="e">
        <v>#REF!</v>
      </c>
      <c r="BH91" s="63" t="e">
        <v>#REF!</v>
      </c>
      <c r="BI91" s="63" t="e">
        <v>#REF!</v>
      </c>
      <c r="BJ91" s="63" t="e">
        <v>#REF!</v>
      </c>
      <c r="BK91" s="63" t="e">
        <v>#REF!</v>
      </c>
    </row>
    <row r="92" spans="2:63">
      <c r="B92" s="92" t="e">
        <v>#REF!</v>
      </c>
      <c r="C92" s="92" t="e">
        <v>#REF!</v>
      </c>
      <c r="E92" s="92" t="e">
        <v>#REF!</v>
      </c>
      <c r="F92" s="92" t="e">
        <v>#REF!</v>
      </c>
      <c r="M92" s="63" t="e">
        <v>#REF!</v>
      </c>
      <c r="N92" s="63" t="e">
        <v>#REF!</v>
      </c>
      <c r="O92" s="63" t="e">
        <v>#REF!</v>
      </c>
      <c r="P92" s="63" t="e">
        <v>#REF!</v>
      </c>
      <c r="Q92" s="63" t="e">
        <v>#REF!</v>
      </c>
      <c r="R92" s="63" t="e">
        <v>#REF!</v>
      </c>
      <c r="S92" s="63" t="e">
        <v>#REF!</v>
      </c>
      <c r="T92" s="63" t="e">
        <v>#REF!</v>
      </c>
      <c r="U92" s="63" t="e">
        <v>#REF!</v>
      </c>
      <c r="V92" s="63" t="e">
        <v>#REF!</v>
      </c>
      <c r="W92" s="63" t="e">
        <v>#REF!</v>
      </c>
      <c r="X92" s="63" t="e">
        <v>#REF!</v>
      </c>
      <c r="Y92" s="63" t="e">
        <v>#REF!</v>
      </c>
      <c r="Z92" s="63" t="e">
        <v>#REF!</v>
      </c>
      <c r="AA92" s="63" t="e">
        <v>#REF!</v>
      </c>
      <c r="AB92" s="63" t="e">
        <v>#REF!</v>
      </c>
      <c r="AC92" s="63" t="e">
        <v>#REF!</v>
      </c>
      <c r="AD92" s="63" t="e">
        <v>#REF!</v>
      </c>
      <c r="AE92" s="63" t="e">
        <v>#REF!</v>
      </c>
      <c r="AF92" s="63" t="e">
        <v>#REF!</v>
      </c>
      <c r="AH92" s="63" t="e">
        <v>#REF!</v>
      </c>
      <c r="AI92" s="63" t="e">
        <v>#REF!</v>
      </c>
      <c r="AJ92" s="63" t="e">
        <v>#REF!</v>
      </c>
      <c r="AK92" s="63" t="e">
        <v>#REF!</v>
      </c>
      <c r="AL92" s="63" t="e">
        <v>#REF!</v>
      </c>
      <c r="AM92" s="63" t="e">
        <v>#REF!</v>
      </c>
      <c r="AN92" s="63" t="e">
        <v>#REF!</v>
      </c>
      <c r="AO92" s="63" t="e">
        <v>#REF!</v>
      </c>
      <c r="AP92" s="63" t="e">
        <v>#REF!</v>
      </c>
      <c r="AQ92" s="63" t="e">
        <v>#REF!</v>
      </c>
      <c r="AR92" s="63" t="e">
        <v>#REF!</v>
      </c>
      <c r="AS92" s="63" t="e">
        <v>#REF!</v>
      </c>
      <c r="AT92" s="63" t="e">
        <v>#REF!</v>
      </c>
      <c r="AU92" s="63" t="e">
        <v>#REF!</v>
      </c>
      <c r="AV92" s="63" t="e">
        <v>#REF!</v>
      </c>
      <c r="AX92" s="63" t="e">
        <v>#REF!</v>
      </c>
      <c r="AY92" s="63" t="e">
        <v>#REF!</v>
      </c>
      <c r="AZ92" s="63" t="e">
        <v>#REF!</v>
      </c>
      <c r="BA92" s="63" t="e">
        <v>#REF!</v>
      </c>
      <c r="BB92" s="63" t="e">
        <v>#REF!</v>
      </c>
      <c r="BC92" s="63" t="e">
        <v>#REF!</v>
      </c>
      <c r="BD92" s="63" t="e">
        <v>#REF!</v>
      </c>
      <c r="BE92" s="63" t="e">
        <v>#REF!</v>
      </c>
      <c r="BF92" s="63" t="e">
        <v>#REF!</v>
      </c>
      <c r="BG92" s="63" t="e">
        <v>#REF!</v>
      </c>
      <c r="BH92" s="63" t="e">
        <v>#REF!</v>
      </c>
      <c r="BI92" s="63" t="e">
        <v>#REF!</v>
      </c>
      <c r="BJ92" s="63" t="e">
        <v>#REF!</v>
      </c>
      <c r="BK92" s="63" t="e">
        <v>#REF!</v>
      </c>
    </row>
    <row r="93" spans="2:63">
      <c r="B93" s="92" t="e">
        <v>#REF!</v>
      </c>
      <c r="C93" s="92" t="e">
        <v>#REF!</v>
      </c>
      <c r="E93" s="92" t="e">
        <v>#REF!</v>
      </c>
      <c r="F93" s="92" t="e">
        <v>#REF!</v>
      </c>
      <c r="M93" s="63" t="e">
        <v>#REF!</v>
      </c>
      <c r="N93" s="63" t="e">
        <v>#REF!</v>
      </c>
      <c r="O93" s="63" t="e">
        <v>#REF!</v>
      </c>
      <c r="P93" s="63" t="e">
        <v>#REF!</v>
      </c>
      <c r="Q93" s="63" t="e">
        <v>#REF!</v>
      </c>
      <c r="R93" s="63" t="e">
        <v>#REF!</v>
      </c>
      <c r="S93" s="63" t="e">
        <v>#REF!</v>
      </c>
      <c r="T93" s="63" t="e">
        <v>#REF!</v>
      </c>
      <c r="U93" s="63" t="e">
        <v>#REF!</v>
      </c>
      <c r="V93" s="63" t="e">
        <v>#REF!</v>
      </c>
      <c r="W93" s="63" t="e">
        <v>#REF!</v>
      </c>
      <c r="X93" s="63" t="e">
        <v>#REF!</v>
      </c>
      <c r="Y93" s="63" t="e">
        <v>#REF!</v>
      </c>
      <c r="Z93" s="63" t="e">
        <v>#REF!</v>
      </c>
      <c r="AA93" s="63" t="e">
        <v>#REF!</v>
      </c>
      <c r="AB93" s="63" t="e">
        <v>#REF!</v>
      </c>
      <c r="AC93" s="63" t="e">
        <v>#REF!</v>
      </c>
      <c r="AD93" s="63" t="e">
        <v>#REF!</v>
      </c>
      <c r="AE93" s="63" t="e">
        <v>#REF!</v>
      </c>
      <c r="AF93" s="63" t="e">
        <v>#REF!</v>
      </c>
      <c r="AH93" s="63" t="e">
        <v>#REF!</v>
      </c>
      <c r="AI93" s="63" t="e">
        <v>#REF!</v>
      </c>
      <c r="AJ93" s="63" t="e">
        <v>#REF!</v>
      </c>
      <c r="AK93" s="63" t="e">
        <v>#REF!</v>
      </c>
      <c r="AL93" s="63" t="e">
        <v>#REF!</v>
      </c>
      <c r="AM93" s="63" t="e">
        <v>#REF!</v>
      </c>
      <c r="AN93" s="63" t="e">
        <v>#REF!</v>
      </c>
      <c r="AO93" s="63" t="e">
        <v>#REF!</v>
      </c>
      <c r="AP93" s="63" t="e">
        <v>#REF!</v>
      </c>
      <c r="AQ93" s="63" t="e">
        <v>#REF!</v>
      </c>
      <c r="AR93" s="63" t="e">
        <v>#REF!</v>
      </c>
      <c r="AS93" s="63" t="e">
        <v>#REF!</v>
      </c>
      <c r="AT93" s="63" t="e">
        <v>#REF!</v>
      </c>
      <c r="AU93" s="63" t="e">
        <v>#REF!</v>
      </c>
      <c r="AV93" s="63" t="e">
        <v>#REF!</v>
      </c>
      <c r="AX93" s="63" t="e">
        <v>#REF!</v>
      </c>
      <c r="AY93" s="63" t="e">
        <v>#REF!</v>
      </c>
      <c r="AZ93" s="63" t="e">
        <v>#REF!</v>
      </c>
      <c r="BA93" s="63" t="e">
        <v>#REF!</v>
      </c>
      <c r="BB93" s="63" t="e">
        <v>#REF!</v>
      </c>
      <c r="BC93" s="63" t="e">
        <v>#REF!</v>
      </c>
      <c r="BD93" s="63" t="e">
        <v>#REF!</v>
      </c>
      <c r="BE93" s="63" t="e">
        <v>#REF!</v>
      </c>
      <c r="BF93" s="63" t="e">
        <v>#REF!</v>
      </c>
      <c r="BG93" s="63" t="e">
        <v>#REF!</v>
      </c>
      <c r="BH93" s="63" t="e">
        <v>#REF!</v>
      </c>
      <c r="BI93" s="63" t="e">
        <v>#REF!</v>
      </c>
      <c r="BJ93" s="63" t="e">
        <v>#REF!</v>
      </c>
      <c r="BK93" s="63" t="e">
        <v>#REF!</v>
      </c>
    </row>
    <row r="94" spans="2:63">
      <c r="B94" s="92" t="e">
        <v>#REF!</v>
      </c>
      <c r="C94" s="92" t="e">
        <v>#REF!</v>
      </c>
      <c r="E94" s="92" t="e">
        <v>#REF!</v>
      </c>
      <c r="F94" s="92" t="e">
        <v>#REF!</v>
      </c>
      <c r="M94" s="63" t="e">
        <v>#REF!</v>
      </c>
      <c r="N94" s="63" t="e">
        <v>#REF!</v>
      </c>
      <c r="O94" s="63" t="e">
        <v>#REF!</v>
      </c>
      <c r="P94" s="63" t="e">
        <v>#REF!</v>
      </c>
      <c r="Q94" s="63" t="e">
        <v>#REF!</v>
      </c>
      <c r="R94" s="63" t="e">
        <v>#REF!</v>
      </c>
      <c r="S94" s="63" t="e">
        <v>#REF!</v>
      </c>
      <c r="T94" s="63" t="e">
        <v>#REF!</v>
      </c>
      <c r="U94" s="63" t="e">
        <v>#REF!</v>
      </c>
      <c r="V94" s="63" t="e">
        <v>#REF!</v>
      </c>
      <c r="W94" s="63" t="e">
        <v>#REF!</v>
      </c>
      <c r="X94" s="63" t="e">
        <v>#REF!</v>
      </c>
      <c r="Y94" s="63" t="e">
        <v>#REF!</v>
      </c>
      <c r="Z94" s="63" t="e">
        <v>#REF!</v>
      </c>
      <c r="AA94" s="63" t="e">
        <v>#REF!</v>
      </c>
      <c r="AB94" s="63" t="e">
        <v>#REF!</v>
      </c>
      <c r="AC94" s="63" t="e">
        <v>#REF!</v>
      </c>
      <c r="AD94" s="63" t="e">
        <v>#REF!</v>
      </c>
      <c r="AE94" s="63" t="e">
        <v>#REF!</v>
      </c>
      <c r="AF94" s="63" t="e">
        <v>#REF!</v>
      </c>
      <c r="AH94" s="63" t="e">
        <v>#REF!</v>
      </c>
      <c r="AI94" s="63" t="e">
        <v>#REF!</v>
      </c>
      <c r="AJ94" s="63" t="e">
        <v>#REF!</v>
      </c>
      <c r="AK94" s="63" t="e">
        <v>#REF!</v>
      </c>
      <c r="AL94" s="63" t="e">
        <v>#REF!</v>
      </c>
      <c r="AM94" s="63" t="e">
        <v>#REF!</v>
      </c>
      <c r="AN94" s="63" t="e">
        <v>#REF!</v>
      </c>
      <c r="AO94" s="63" t="e">
        <v>#REF!</v>
      </c>
      <c r="AP94" s="63" t="e">
        <v>#REF!</v>
      </c>
      <c r="AQ94" s="63" t="e">
        <v>#REF!</v>
      </c>
      <c r="AR94" s="63" t="e">
        <v>#REF!</v>
      </c>
      <c r="AS94" s="63" t="e">
        <v>#REF!</v>
      </c>
      <c r="AT94" s="63" t="e">
        <v>#REF!</v>
      </c>
      <c r="AU94" s="63" t="e">
        <v>#REF!</v>
      </c>
      <c r="AV94" s="63" t="e">
        <v>#REF!</v>
      </c>
      <c r="AX94" s="63" t="e">
        <v>#REF!</v>
      </c>
      <c r="AY94" s="63" t="e">
        <v>#REF!</v>
      </c>
      <c r="AZ94" s="63" t="e">
        <v>#REF!</v>
      </c>
      <c r="BA94" s="63" t="e">
        <v>#REF!</v>
      </c>
      <c r="BB94" s="63" t="e">
        <v>#REF!</v>
      </c>
      <c r="BC94" s="63" t="e">
        <v>#REF!</v>
      </c>
      <c r="BD94" s="63" t="e">
        <v>#REF!</v>
      </c>
      <c r="BE94" s="63" t="e">
        <v>#REF!</v>
      </c>
      <c r="BF94" s="63" t="e">
        <v>#REF!</v>
      </c>
      <c r="BG94" s="63" t="e">
        <v>#REF!</v>
      </c>
      <c r="BH94" s="63" t="e">
        <v>#REF!</v>
      </c>
      <c r="BI94" s="63" t="e">
        <v>#REF!</v>
      </c>
      <c r="BJ94" s="63" t="e">
        <v>#REF!</v>
      </c>
      <c r="BK94" s="63" t="e">
        <v>#REF!</v>
      </c>
    </row>
    <row r="95" spans="2:63">
      <c r="B95" s="92" t="e">
        <v>#REF!</v>
      </c>
      <c r="C95" s="92" t="e">
        <v>#REF!</v>
      </c>
      <c r="E95" s="92" t="e">
        <v>#REF!</v>
      </c>
      <c r="F95" s="92" t="e">
        <v>#REF!</v>
      </c>
      <c r="M95" s="63" t="e">
        <v>#REF!</v>
      </c>
      <c r="N95" s="63" t="e">
        <v>#REF!</v>
      </c>
      <c r="O95" s="63" t="e">
        <v>#REF!</v>
      </c>
      <c r="P95" s="63" t="e">
        <v>#REF!</v>
      </c>
      <c r="Q95" s="63" t="e">
        <v>#REF!</v>
      </c>
      <c r="R95" s="63" t="e">
        <v>#REF!</v>
      </c>
      <c r="S95" s="63" t="e">
        <v>#REF!</v>
      </c>
      <c r="T95" s="63" t="e">
        <v>#REF!</v>
      </c>
      <c r="U95" s="63" t="e">
        <v>#REF!</v>
      </c>
      <c r="V95" s="63" t="e">
        <v>#REF!</v>
      </c>
      <c r="W95" s="63" t="e">
        <v>#REF!</v>
      </c>
      <c r="X95" s="63" t="e">
        <v>#REF!</v>
      </c>
      <c r="Y95" s="63" t="e">
        <v>#REF!</v>
      </c>
      <c r="Z95" s="63" t="e">
        <v>#REF!</v>
      </c>
      <c r="AA95" s="63" t="e">
        <v>#REF!</v>
      </c>
      <c r="AB95" s="63" t="e">
        <v>#REF!</v>
      </c>
      <c r="AC95" s="63" t="e">
        <v>#REF!</v>
      </c>
      <c r="AD95" s="63" t="e">
        <v>#REF!</v>
      </c>
      <c r="AE95" s="63" t="e">
        <v>#REF!</v>
      </c>
      <c r="AF95" s="63" t="e">
        <v>#REF!</v>
      </c>
      <c r="AH95" s="63" t="e">
        <v>#REF!</v>
      </c>
      <c r="AI95" s="63" t="e">
        <v>#REF!</v>
      </c>
      <c r="AJ95" s="63" t="e">
        <v>#REF!</v>
      </c>
      <c r="AK95" s="63" t="e">
        <v>#REF!</v>
      </c>
      <c r="AL95" s="63" t="e">
        <v>#REF!</v>
      </c>
      <c r="AM95" s="63" t="e">
        <v>#REF!</v>
      </c>
      <c r="AN95" s="63" t="e">
        <v>#REF!</v>
      </c>
      <c r="AO95" s="63" t="e">
        <v>#REF!</v>
      </c>
      <c r="AP95" s="63" t="e">
        <v>#REF!</v>
      </c>
      <c r="AQ95" s="63" t="e">
        <v>#REF!</v>
      </c>
      <c r="AR95" s="63" t="e">
        <v>#REF!</v>
      </c>
      <c r="AS95" s="63" t="e">
        <v>#REF!</v>
      </c>
      <c r="AT95" s="63" t="e">
        <v>#REF!</v>
      </c>
      <c r="AU95" s="63" t="e">
        <v>#REF!</v>
      </c>
      <c r="AV95" s="63" t="e">
        <v>#REF!</v>
      </c>
      <c r="AX95" s="63" t="e">
        <v>#REF!</v>
      </c>
      <c r="AY95" s="63" t="e">
        <v>#REF!</v>
      </c>
      <c r="AZ95" s="63" t="e">
        <v>#REF!</v>
      </c>
      <c r="BA95" s="63" t="e">
        <v>#REF!</v>
      </c>
      <c r="BB95" s="63" t="e">
        <v>#REF!</v>
      </c>
      <c r="BC95" s="63" t="e">
        <v>#REF!</v>
      </c>
      <c r="BD95" s="63" t="e">
        <v>#REF!</v>
      </c>
      <c r="BE95" s="63" t="e">
        <v>#REF!</v>
      </c>
      <c r="BF95" s="63" t="e">
        <v>#REF!</v>
      </c>
      <c r="BG95" s="63" t="e">
        <v>#REF!</v>
      </c>
      <c r="BH95" s="63" t="e">
        <v>#REF!</v>
      </c>
      <c r="BI95" s="63" t="e">
        <v>#REF!</v>
      </c>
      <c r="BJ95" s="63" t="e">
        <v>#REF!</v>
      </c>
      <c r="BK95" s="63" t="e">
        <v>#REF!</v>
      </c>
    </row>
    <row r="96" spans="2:63">
      <c r="B96" s="92" t="e">
        <v>#REF!</v>
      </c>
      <c r="C96" s="92" t="e">
        <v>#REF!</v>
      </c>
      <c r="E96" s="92" t="e">
        <v>#REF!</v>
      </c>
      <c r="F96" s="92" t="e">
        <v>#REF!</v>
      </c>
      <c r="M96" s="63" t="e">
        <v>#REF!</v>
      </c>
      <c r="N96" s="63" t="e">
        <v>#REF!</v>
      </c>
      <c r="O96" s="63" t="e">
        <v>#REF!</v>
      </c>
      <c r="P96" s="63" t="e">
        <v>#REF!</v>
      </c>
      <c r="Q96" s="63" t="e">
        <v>#REF!</v>
      </c>
      <c r="R96" s="63" t="e">
        <v>#REF!</v>
      </c>
      <c r="S96" s="63" t="e">
        <v>#REF!</v>
      </c>
      <c r="T96" s="63" t="e">
        <v>#REF!</v>
      </c>
      <c r="U96" s="63" t="e">
        <v>#REF!</v>
      </c>
      <c r="V96" s="63" t="e">
        <v>#REF!</v>
      </c>
      <c r="W96" s="63" t="e">
        <v>#REF!</v>
      </c>
      <c r="X96" s="63" t="e">
        <v>#REF!</v>
      </c>
      <c r="Y96" s="63" t="e">
        <v>#REF!</v>
      </c>
      <c r="Z96" s="63" t="e">
        <v>#REF!</v>
      </c>
      <c r="AA96" s="63" t="e">
        <v>#REF!</v>
      </c>
      <c r="AB96" s="63" t="e">
        <v>#REF!</v>
      </c>
      <c r="AC96" s="63" t="e">
        <v>#REF!</v>
      </c>
      <c r="AD96" s="63" t="e">
        <v>#REF!</v>
      </c>
      <c r="AE96" s="63" t="e">
        <v>#REF!</v>
      </c>
      <c r="AF96" s="63" t="e">
        <v>#REF!</v>
      </c>
      <c r="AH96" s="63" t="e">
        <v>#REF!</v>
      </c>
      <c r="AI96" s="63" t="e">
        <v>#REF!</v>
      </c>
      <c r="AJ96" s="63" t="e">
        <v>#REF!</v>
      </c>
      <c r="AK96" s="63" t="e">
        <v>#REF!</v>
      </c>
      <c r="AL96" s="63" t="e">
        <v>#REF!</v>
      </c>
      <c r="AM96" s="63" t="e">
        <v>#REF!</v>
      </c>
      <c r="AN96" s="63" t="e">
        <v>#REF!</v>
      </c>
      <c r="AO96" s="63" t="e">
        <v>#REF!</v>
      </c>
      <c r="AP96" s="63" t="e">
        <v>#REF!</v>
      </c>
      <c r="AQ96" s="63" t="e">
        <v>#REF!</v>
      </c>
      <c r="AR96" s="63" t="e">
        <v>#REF!</v>
      </c>
      <c r="AS96" s="63" t="e">
        <v>#REF!</v>
      </c>
      <c r="AT96" s="63" t="e">
        <v>#REF!</v>
      </c>
      <c r="AU96" s="63" t="e">
        <v>#REF!</v>
      </c>
      <c r="AV96" s="63" t="e">
        <v>#REF!</v>
      </c>
      <c r="AX96" s="63" t="e">
        <v>#REF!</v>
      </c>
      <c r="AY96" s="63" t="e">
        <v>#REF!</v>
      </c>
      <c r="AZ96" s="63" t="e">
        <v>#REF!</v>
      </c>
      <c r="BA96" s="63" t="e">
        <v>#REF!</v>
      </c>
      <c r="BB96" s="63" t="e">
        <v>#REF!</v>
      </c>
      <c r="BC96" s="63" t="e">
        <v>#REF!</v>
      </c>
      <c r="BD96" s="63" t="e">
        <v>#REF!</v>
      </c>
      <c r="BE96" s="63" t="e">
        <v>#REF!</v>
      </c>
      <c r="BF96" s="63" t="e">
        <v>#REF!</v>
      </c>
      <c r="BG96" s="63" t="e">
        <v>#REF!</v>
      </c>
      <c r="BH96" s="63" t="e">
        <v>#REF!</v>
      </c>
      <c r="BI96" s="63" t="e">
        <v>#REF!</v>
      </c>
      <c r="BJ96" s="63" t="e">
        <v>#REF!</v>
      </c>
      <c r="BK96" s="63" t="e">
        <v>#REF!</v>
      </c>
    </row>
    <row r="97" spans="2:63">
      <c r="B97" s="92" t="e">
        <v>#REF!</v>
      </c>
      <c r="C97" s="92" t="e">
        <v>#REF!</v>
      </c>
      <c r="E97" s="92" t="e">
        <v>#REF!</v>
      </c>
      <c r="F97" s="92" t="e">
        <v>#REF!</v>
      </c>
      <c r="M97" s="63" t="e">
        <v>#REF!</v>
      </c>
      <c r="N97" s="63" t="e">
        <v>#REF!</v>
      </c>
      <c r="O97" s="63" t="e">
        <v>#REF!</v>
      </c>
      <c r="P97" s="63" t="e">
        <v>#REF!</v>
      </c>
      <c r="Q97" s="63" t="e">
        <v>#REF!</v>
      </c>
      <c r="R97" s="63" t="e">
        <v>#REF!</v>
      </c>
      <c r="S97" s="63" t="e">
        <v>#REF!</v>
      </c>
      <c r="T97" s="63" t="e">
        <v>#REF!</v>
      </c>
      <c r="U97" s="63" t="e">
        <v>#REF!</v>
      </c>
      <c r="V97" s="63" t="e">
        <v>#REF!</v>
      </c>
      <c r="W97" s="63" t="e">
        <v>#REF!</v>
      </c>
      <c r="X97" s="63" t="e">
        <v>#REF!</v>
      </c>
      <c r="Y97" s="63" t="e">
        <v>#REF!</v>
      </c>
      <c r="Z97" s="63" t="e">
        <v>#REF!</v>
      </c>
      <c r="AA97" s="63" t="e">
        <v>#REF!</v>
      </c>
      <c r="AB97" s="63" t="e">
        <v>#REF!</v>
      </c>
      <c r="AC97" s="63" t="e">
        <v>#REF!</v>
      </c>
      <c r="AD97" s="63" t="e">
        <v>#REF!</v>
      </c>
      <c r="AE97" s="63" t="e">
        <v>#REF!</v>
      </c>
      <c r="AF97" s="63" t="e">
        <v>#REF!</v>
      </c>
      <c r="AH97" s="63" t="e">
        <v>#REF!</v>
      </c>
      <c r="AI97" s="63" t="e">
        <v>#REF!</v>
      </c>
      <c r="AJ97" s="63" t="e">
        <v>#REF!</v>
      </c>
      <c r="AK97" s="63" t="e">
        <v>#REF!</v>
      </c>
      <c r="AL97" s="63" t="e">
        <v>#REF!</v>
      </c>
      <c r="AM97" s="63" t="e">
        <v>#REF!</v>
      </c>
      <c r="AN97" s="63" t="e">
        <v>#REF!</v>
      </c>
      <c r="AO97" s="63" t="e">
        <v>#REF!</v>
      </c>
      <c r="AP97" s="63" t="e">
        <v>#REF!</v>
      </c>
      <c r="AQ97" s="63" t="e">
        <v>#REF!</v>
      </c>
      <c r="AR97" s="63" t="e">
        <v>#REF!</v>
      </c>
      <c r="AS97" s="63" t="e">
        <v>#REF!</v>
      </c>
      <c r="AT97" s="63" t="e">
        <v>#REF!</v>
      </c>
      <c r="AU97" s="63" t="e">
        <v>#REF!</v>
      </c>
      <c r="AV97" s="63" t="e">
        <v>#REF!</v>
      </c>
      <c r="AX97" s="63" t="e">
        <v>#REF!</v>
      </c>
      <c r="AY97" s="63" t="e">
        <v>#REF!</v>
      </c>
      <c r="AZ97" s="63" t="e">
        <v>#REF!</v>
      </c>
      <c r="BA97" s="63" t="e">
        <v>#REF!</v>
      </c>
      <c r="BB97" s="63" t="e">
        <v>#REF!</v>
      </c>
      <c r="BC97" s="63" t="e">
        <v>#REF!</v>
      </c>
      <c r="BD97" s="63" t="e">
        <v>#REF!</v>
      </c>
      <c r="BE97" s="63" t="e">
        <v>#REF!</v>
      </c>
      <c r="BF97" s="63" t="e">
        <v>#REF!</v>
      </c>
      <c r="BG97" s="63" t="e">
        <v>#REF!</v>
      </c>
      <c r="BH97" s="63" t="e">
        <v>#REF!</v>
      </c>
      <c r="BI97" s="63" t="e">
        <v>#REF!</v>
      </c>
      <c r="BJ97" s="63" t="e">
        <v>#REF!</v>
      </c>
      <c r="BK97" s="63" t="e">
        <v>#REF!</v>
      </c>
    </row>
    <row r="98" spans="2:63">
      <c r="B98" s="92" t="e">
        <v>#REF!</v>
      </c>
      <c r="C98" s="92" t="e">
        <v>#REF!</v>
      </c>
      <c r="E98" s="92" t="e">
        <v>#REF!</v>
      </c>
      <c r="F98" s="92" t="e">
        <v>#REF!</v>
      </c>
      <c r="M98" s="63" t="e">
        <v>#REF!</v>
      </c>
      <c r="N98" s="63" t="e">
        <v>#REF!</v>
      </c>
      <c r="O98" s="63" t="e">
        <v>#REF!</v>
      </c>
      <c r="P98" s="63" t="e">
        <v>#REF!</v>
      </c>
      <c r="Q98" s="63" t="e">
        <v>#REF!</v>
      </c>
      <c r="R98" s="63" t="e">
        <v>#REF!</v>
      </c>
      <c r="S98" s="63" t="e">
        <v>#REF!</v>
      </c>
      <c r="T98" s="63" t="e">
        <v>#REF!</v>
      </c>
      <c r="U98" s="63" t="e">
        <v>#REF!</v>
      </c>
      <c r="V98" s="63" t="e">
        <v>#REF!</v>
      </c>
      <c r="W98" s="63" t="e">
        <v>#REF!</v>
      </c>
      <c r="X98" s="63" t="e">
        <v>#REF!</v>
      </c>
      <c r="Y98" s="63" t="e">
        <v>#REF!</v>
      </c>
      <c r="Z98" s="63" t="e">
        <v>#REF!</v>
      </c>
      <c r="AA98" s="63" t="e">
        <v>#REF!</v>
      </c>
      <c r="AB98" s="63" t="e">
        <v>#REF!</v>
      </c>
      <c r="AC98" s="63" t="e">
        <v>#REF!</v>
      </c>
      <c r="AD98" s="63" t="e">
        <v>#REF!</v>
      </c>
      <c r="AE98" s="63" t="e">
        <v>#REF!</v>
      </c>
      <c r="AF98" s="63" t="e">
        <v>#REF!</v>
      </c>
      <c r="AH98" s="63" t="e">
        <v>#REF!</v>
      </c>
      <c r="AI98" s="63" t="e">
        <v>#REF!</v>
      </c>
      <c r="AJ98" s="63" t="e">
        <v>#REF!</v>
      </c>
      <c r="AK98" s="63" t="e">
        <v>#REF!</v>
      </c>
      <c r="AL98" s="63" t="e">
        <v>#REF!</v>
      </c>
      <c r="AM98" s="63" t="e">
        <v>#REF!</v>
      </c>
      <c r="AN98" s="63" t="e">
        <v>#REF!</v>
      </c>
      <c r="AO98" s="63" t="e">
        <v>#REF!</v>
      </c>
      <c r="AP98" s="63" t="e">
        <v>#REF!</v>
      </c>
      <c r="AQ98" s="63" t="e">
        <v>#REF!</v>
      </c>
      <c r="AR98" s="63" t="e">
        <v>#REF!</v>
      </c>
      <c r="AS98" s="63" t="e">
        <v>#REF!</v>
      </c>
      <c r="AT98" s="63" t="e">
        <v>#REF!</v>
      </c>
      <c r="AU98" s="63" t="e">
        <v>#REF!</v>
      </c>
      <c r="AV98" s="63" t="e">
        <v>#REF!</v>
      </c>
      <c r="AX98" s="63" t="e">
        <v>#REF!</v>
      </c>
      <c r="AY98" s="63" t="e">
        <v>#REF!</v>
      </c>
      <c r="AZ98" s="63" t="e">
        <v>#REF!</v>
      </c>
      <c r="BA98" s="63" t="e">
        <v>#REF!</v>
      </c>
      <c r="BB98" s="63" t="e">
        <v>#REF!</v>
      </c>
      <c r="BC98" s="63" t="e">
        <v>#REF!</v>
      </c>
      <c r="BD98" s="63" t="e">
        <v>#REF!</v>
      </c>
      <c r="BE98" s="63" t="e">
        <v>#REF!</v>
      </c>
      <c r="BF98" s="63" t="e">
        <v>#REF!</v>
      </c>
      <c r="BG98" s="63" t="e">
        <v>#REF!</v>
      </c>
      <c r="BH98" s="63" t="e">
        <v>#REF!</v>
      </c>
      <c r="BI98" s="63" t="e">
        <v>#REF!</v>
      </c>
      <c r="BJ98" s="63" t="e">
        <v>#REF!</v>
      </c>
      <c r="BK98" s="63" t="e">
        <v>#REF!</v>
      </c>
    </row>
    <row r="99" spans="2:63">
      <c r="B99" s="92" t="e">
        <v>#REF!</v>
      </c>
      <c r="C99" s="92" t="e">
        <v>#REF!</v>
      </c>
      <c r="E99" s="92" t="e">
        <v>#REF!</v>
      </c>
      <c r="F99" s="92" t="e">
        <v>#REF!</v>
      </c>
      <c r="M99" s="63" t="e">
        <v>#REF!</v>
      </c>
      <c r="N99" s="63" t="e">
        <v>#REF!</v>
      </c>
      <c r="O99" s="63" t="e">
        <v>#REF!</v>
      </c>
      <c r="P99" s="63" t="e">
        <v>#REF!</v>
      </c>
      <c r="Q99" s="63" t="e">
        <v>#REF!</v>
      </c>
      <c r="R99" s="63" t="e">
        <v>#REF!</v>
      </c>
      <c r="S99" s="63" t="e">
        <v>#REF!</v>
      </c>
      <c r="T99" s="63" t="e">
        <v>#REF!</v>
      </c>
      <c r="U99" s="63" t="e">
        <v>#REF!</v>
      </c>
      <c r="V99" s="63" t="e">
        <v>#REF!</v>
      </c>
      <c r="W99" s="63" t="e">
        <v>#REF!</v>
      </c>
      <c r="X99" s="63" t="e">
        <v>#REF!</v>
      </c>
      <c r="Y99" s="63" t="e">
        <v>#REF!</v>
      </c>
      <c r="Z99" s="63" t="e">
        <v>#REF!</v>
      </c>
      <c r="AA99" s="63" t="e">
        <v>#REF!</v>
      </c>
      <c r="AB99" s="63" t="e">
        <v>#REF!</v>
      </c>
      <c r="AC99" s="63" t="e">
        <v>#REF!</v>
      </c>
      <c r="AD99" s="63" t="e">
        <v>#REF!</v>
      </c>
      <c r="AE99" s="63" t="e">
        <v>#REF!</v>
      </c>
      <c r="AF99" s="63" t="e">
        <v>#REF!</v>
      </c>
      <c r="AH99" s="63" t="e">
        <v>#REF!</v>
      </c>
      <c r="AI99" s="63" t="e">
        <v>#REF!</v>
      </c>
      <c r="AJ99" s="63" t="e">
        <v>#REF!</v>
      </c>
      <c r="AK99" s="63" t="e">
        <v>#REF!</v>
      </c>
      <c r="AL99" s="63" t="e">
        <v>#REF!</v>
      </c>
      <c r="AM99" s="63" t="e">
        <v>#REF!</v>
      </c>
      <c r="AN99" s="63" t="e">
        <v>#REF!</v>
      </c>
      <c r="AO99" s="63" t="e">
        <v>#REF!</v>
      </c>
      <c r="AP99" s="63" t="e">
        <v>#REF!</v>
      </c>
      <c r="AQ99" s="63" t="e">
        <v>#REF!</v>
      </c>
      <c r="AR99" s="63" t="e">
        <v>#REF!</v>
      </c>
      <c r="AS99" s="63" t="e">
        <v>#REF!</v>
      </c>
      <c r="AT99" s="63" t="e">
        <v>#REF!</v>
      </c>
      <c r="AU99" s="63" t="e">
        <v>#REF!</v>
      </c>
      <c r="AV99" s="63" t="e">
        <v>#REF!</v>
      </c>
      <c r="AX99" s="63" t="e">
        <v>#REF!</v>
      </c>
      <c r="AY99" s="63" t="e">
        <v>#REF!</v>
      </c>
      <c r="AZ99" s="63" t="e">
        <v>#REF!</v>
      </c>
      <c r="BA99" s="63" t="e">
        <v>#REF!</v>
      </c>
      <c r="BB99" s="63" t="e">
        <v>#REF!</v>
      </c>
      <c r="BC99" s="63" t="e">
        <v>#REF!</v>
      </c>
      <c r="BD99" s="63" t="e">
        <v>#REF!</v>
      </c>
      <c r="BE99" s="63" t="e">
        <v>#REF!</v>
      </c>
      <c r="BF99" s="63" t="e">
        <v>#REF!</v>
      </c>
      <c r="BG99" s="63" t="e">
        <v>#REF!</v>
      </c>
      <c r="BH99" s="63" t="e">
        <v>#REF!</v>
      </c>
      <c r="BI99" s="63" t="e">
        <v>#REF!</v>
      </c>
      <c r="BJ99" s="63" t="e">
        <v>#REF!</v>
      </c>
      <c r="BK99" s="63" t="e">
        <v>#REF!</v>
      </c>
    </row>
    <row r="100" spans="2:63">
      <c r="B100" s="92" t="e">
        <v>#REF!</v>
      </c>
      <c r="C100" s="92" t="e">
        <v>#REF!</v>
      </c>
      <c r="E100" s="92" t="e">
        <v>#REF!</v>
      </c>
      <c r="F100" s="92" t="e">
        <v>#REF!</v>
      </c>
      <c r="M100" s="63" t="e">
        <v>#REF!</v>
      </c>
      <c r="N100" s="63" t="e">
        <v>#REF!</v>
      </c>
      <c r="O100" s="63" t="e">
        <v>#REF!</v>
      </c>
      <c r="P100" s="63" t="e">
        <v>#REF!</v>
      </c>
      <c r="Q100" s="63" t="e">
        <v>#REF!</v>
      </c>
      <c r="R100" s="63" t="e">
        <v>#REF!</v>
      </c>
      <c r="S100" s="63" t="e">
        <v>#REF!</v>
      </c>
      <c r="T100" s="63" t="e">
        <v>#REF!</v>
      </c>
      <c r="U100" s="63" t="e">
        <v>#REF!</v>
      </c>
      <c r="V100" s="63" t="e">
        <v>#REF!</v>
      </c>
      <c r="W100" s="63" t="e">
        <v>#REF!</v>
      </c>
      <c r="X100" s="63" t="e">
        <v>#REF!</v>
      </c>
      <c r="Y100" s="63" t="e">
        <v>#REF!</v>
      </c>
      <c r="Z100" s="63" t="e">
        <v>#REF!</v>
      </c>
      <c r="AA100" s="63" t="e">
        <v>#REF!</v>
      </c>
      <c r="AB100" s="63" t="e">
        <v>#REF!</v>
      </c>
      <c r="AC100" s="63" t="e">
        <v>#REF!</v>
      </c>
      <c r="AD100" s="63" t="e">
        <v>#REF!</v>
      </c>
      <c r="AE100" s="63" t="e">
        <v>#REF!</v>
      </c>
      <c r="AF100" s="63" t="e">
        <v>#REF!</v>
      </c>
      <c r="AH100" s="63" t="e">
        <v>#REF!</v>
      </c>
      <c r="AI100" s="63" t="e">
        <v>#REF!</v>
      </c>
      <c r="AJ100" s="63" t="e">
        <v>#REF!</v>
      </c>
      <c r="AK100" s="63" t="e">
        <v>#REF!</v>
      </c>
      <c r="AL100" s="63" t="e">
        <v>#REF!</v>
      </c>
      <c r="AM100" s="63" t="e">
        <v>#REF!</v>
      </c>
      <c r="AN100" s="63" t="e">
        <v>#REF!</v>
      </c>
      <c r="AO100" s="63" t="e">
        <v>#REF!</v>
      </c>
      <c r="AP100" s="63" t="e">
        <v>#REF!</v>
      </c>
      <c r="AQ100" s="63" t="e">
        <v>#REF!</v>
      </c>
      <c r="AR100" s="63" t="e">
        <v>#REF!</v>
      </c>
      <c r="AS100" s="63" t="e">
        <v>#REF!</v>
      </c>
      <c r="AT100" s="63" t="e">
        <v>#REF!</v>
      </c>
      <c r="AU100" s="63" t="e">
        <v>#REF!</v>
      </c>
      <c r="AV100" s="63" t="e">
        <v>#REF!</v>
      </c>
      <c r="AX100" s="63" t="e">
        <v>#REF!</v>
      </c>
      <c r="AY100" s="63" t="e">
        <v>#REF!</v>
      </c>
      <c r="AZ100" s="63" t="e">
        <v>#REF!</v>
      </c>
      <c r="BA100" s="63" t="e">
        <v>#REF!</v>
      </c>
      <c r="BB100" s="63" t="e">
        <v>#REF!</v>
      </c>
      <c r="BC100" s="63" t="e">
        <v>#REF!</v>
      </c>
      <c r="BD100" s="63" t="e">
        <v>#REF!</v>
      </c>
      <c r="BE100" s="63" t="e">
        <v>#REF!</v>
      </c>
      <c r="BF100" s="63" t="e">
        <v>#REF!</v>
      </c>
      <c r="BG100" s="63" t="e">
        <v>#REF!</v>
      </c>
      <c r="BH100" s="63" t="e">
        <v>#REF!</v>
      </c>
      <c r="BI100" s="63" t="e">
        <v>#REF!</v>
      </c>
      <c r="BJ100" s="63" t="e">
        <v>#REF!</v>
      </c>
      <c r="BK100" s="63" t="e">
        <v>#REF!</v>
      </c>
    </row>
    <row r="101" spans="2:63">
      <c r="B101" s="92" t="e">
        <v>#REF!</v>
      </c>
      <c r="C101" s="92" t="e">
        <v>#REF!</v>
      </c>
      <c r="E101" s="92" t="e">
        <v>#REF!</v>
      </c>
      <c r="F101" s="92" t="e">
        <v>#REF!</v>
      </c>
      <c r="M101" s="63" t="e">
        <v>#REF!</v>
      </c>
      <c r="N101" s="63" t="e">
        <v>#REF!</v>
      </c>
      <c r="O101" s="63" t="e">
        <v>#REF!</v>
      </c>
      <c r="P101" s="63" t="e">
        <v>#REF!</v>
      </c>
      <c r="Q101" s="63" t="e">
        <v>#REF!</v>
      </c>
      <c r="R101" s="63" t="e">
        <v>#REF!</v>
      </c>
      <c r="S101" s="63" t="e">
        <v>#REF!</v>
      </c>
      <c r="T101" s="63" t="e">
        <v>#REF!</v>
      </c>
      <c r="U101" s="63" t="e">
        <v>#REF!</v>
      </c>
      <c r="V101" s="63" t="e">
        <v>#REF!</v>
      </c>
      <c r="W101" s="63" t="e">
        <v>#REF!</v>
      </c>
      <c r="X101" s="63" t="e">
        <v>#REF!</v>
      </c>
      <c r="Y101" s="63" t="e">
        <v>#REF!</v>
      </c>
      <c r="Z101" s="63" t="e">
        <v>#REF!</v>
      </c>
      <c r="AA101" s="63" t="e">
        <v>#REF!</v>
      </c>
      <c r="AB101" s="63" t="e">
        <v>#REF!</v>
      </c>
      <c r="AC101" s="63" t="e">
        <v>#REF!</v>
      </c>
      <c r="AD101" s="63" t="e">
        <v>#REF!</v>
      </c>
      <c r="AE101" s="63" t="e">
        <v>#REF!</v>
      </c>
      <c r="AF101" s="63" t="e">
        <v>#REF!</v>
      </c>
      <c r="AH101" s="63" t="e">
        <v>#REF!</v>
      </c>
      <c r="AI101" s="63" t="e">
        <v>#REF!</v>
      </c>
      <c r="AJ101" s="63" t="e">
        <v>#REF!</v>
      </c>
      <c r="AK101" s="63" t="e">
        <v>#REF!</v>
      </c>
      <c r="AL101" s="63" t="e">
        <v>#REF!</v>
      </c>
      <c r="AM101" s="63" t="e">
        <v>#REF!</v>
      </c>
      <c r="AN101" s="63" t="e">
        <v>#REF!</v>
      </c>
      <c r="AO101" s="63" t="e">
        <v>#REF!</v>
      </c>
      <c r="AP101" s="63" t="e">
        <v>#REF!</v>
      </c>
      <c r="AQ101" s="63" t="e">
        <v>#REF!</v>
      </c>
      <c r="AR101" s="63" t="e">
        <v>#REF!</v>
      </c>
      <c r="AS101" s="63" t="e">
        <v>#REF!</v>
      </c>
      <c r="AT101" s="63" t="e">
        <v>#REF!</v>
      </c>
      <c r="AU101" s="63" t="e">
        <v>#REF!</v>
      </c>
      <c r="AV101" s="63" t="e">
        <v>#REF!</v>
      </c>
      <c r="AX101" s="63" t="e">
        <v>#REF!</v>
      </c>
      <c r="AY101" s="63" t="e">
        <v>#REF!</v>
      </c>
      <c r="AZ101" s="63" t="e">
        <v>#REF!</v>
      </c>
      <c r="BA101" s="63" t="e">
        <v>#REF!</v>
      </c>
      <c r="BB101" s="63" t="e">
        <v>#REF!</v>
      </c>
      <c r="BC101" s="63" t="e">
        <v>#REF!</v>
      </c>
      <c r="BD101" s="63" t="e">
        <v>#REF!</v>
      </c>
      <c r="BE101" s="63" t="e">
        <v>#REF!</v>
      </c>
      <c r="BF101" s="63" t="e">
        <v>#REF!</v>
      </c>
      <c r="BG101" s="63" t="e">
        <v>#REF!</v>
      </c>
      <c r="BH101" s="63" t="e">
        <v>#REF!</v>
      </c>
      <c r="BI101" s="63" t="e">
        <v>#REF!</v>
      </c>
      <c r="BJ101" s="63" t="e">
        <v>#REF!</v>
      </c>
      <c r="BK101" s="63" t="e">
        <v>#REF!</v>
      </c>
    </row>
    <row r="102" spans="2:63">
      <c r="B102" s="92" t="e">
        <v>#REF!</v>
      </c>
      <c r="C102" s="92" t="e">
        <v>#REF!</v>
      </c>
      <c r="E102" s="92" t="e">
        <v>#REF!</v>
      </c>
      <c r="F102" s="92" t="e">
        <v>#REF!</v>
      </c>
      <c r="M102" s="63" t="e">
        <v>#REF!</v>
      </c>
      <c r="N102" s="63" t="e">
        <v>#REF!</v>
      </c>
      <c r="O102" s="63" t="e">
        <v>#REF!</v>
      </c>
      <c r="P102" s="63" t="e">
        <v>#REF!</v>
      </c>
      <c r="Q102" s="63" t="e">
        <v>#REF!</v>
      </c>
      <c r="R102" s="63" t="e">
        <v>#REF!</v>
      </c>
      <c r="S102" s="63" t="e">
        <v>#REF!</v>
      </c>
      <c r="T102" s="63" t="e">
        <v>#REF!</v>
      </c>
      <c r="U102" s="63" t="e">
        <v>#REF!</v>
      </c>
      <c r="V102" s="63" t="e">
        <v>#REF!</v>
      </c>
      <c r="W102" s="63" t="e">
        <v>#REF!</v>
      </c>
      <c r="X102" s="63" t="e">
        <v>#REF!</v>
      </c>
      <c r="Y102" s="63" t="e">
        <v>#REF!</v>
      </c>
      <c r="Z102" s="63" t="e">
        <v>#REF!</v>
      </c>
      <c r="AA102" s="63" t="e">
        <v>#REF!</v>
      </c>
      <c r="AB102" s="63" t="e">
        <v>#REF!</v>
      </c>
      <c r="AC102" s="63" t="e">
        <v>#REF!</v>
      </c>
      <c r="AD102" s="63" t="e">
        <v>#REF!</v>
      </c>
      <c r="AE102" s="63" t="e">
        <v>#REF!</v>
      </c>
      <c r="AF102" s="63" t="e">
        <v>#REF!</v>
      </c>
      <c r="AH102" s="63" t="e">
        <v>#REF!</v>
      </c>
      <c r="AI102" s="63" t="e">
        <v>#REF!</v>
      </c>
      <c r="AJ102" s="63" t="e">
        <v>#REF!</v>
      </c>
      <c r="AK102" s="63" t="e">
        <v>#REF!</v>
      </c>
      <c r="AL102" s="63" t="e">
        <v>#REF!</v>
      </c>
      <c r="AM102" s="63" t="e">
        <v>#REF!</v>
      </c>
      <c r="AN102" s="63" t="e">
        <v>#REF!</v>
      </c>
      <c r="AO102" s="63" t="e">
        <v>#REF!</v>
      </c>
      <c r="AP102" s="63" t="e">
        <v>#REF!</v>
      </c>
      <c r="AQ102" s="63" t="e">
        <v>#REF!</v>
      </c>
      <c r="AR102" s="63" t="e">
        <v>#REF!</v>
      </c>
      <c r="AS102" s="63" t="e">
        <v>#REF!</v>
      </c>
      <c r="AT102" s="63" t="e">
        <v>#REF!</v>
      </c>
      <c r="AU102" s="63" t="e">
        <v>#REF!</v>
      </c>
      <c r="AV102" s="63" t="e">
        <v>#REF!</v>
      </c>
      <c r="AX102" s="63" t="e">
        <v>#REF!</v>
      </c>
      <c r="AY102" s="63" t="e">
        <v>#REF!</v>
      </c>
      <c r="AZ102" s="63" t="e">
        <v>#REF!</v>
      </c>
      <c r="BA102" s="63" t="e">
        <v>#REF!</v>
      </c>
      <c r="BB102" s="63" t="e">
        <v>#REF!</v>
      </c>
      <c r="BC102" s="63" t="e">
        <v>#REF!</v>
      </c>
      <c r="BD102" s="63" t="e">
        <v>#REF!</v>
      </c>
      <c r="BE102" s="63" t="e">
        <v>#REF!</v>
      </c>
      <c r="BF102" s="63" t="e">
        <v>#REF!</v>
      </c>
      <c r="BG102" s="63" t="e">
        <v>#REF!</v>
      </c>
      <c r="BH102" s="63" t="e">
        <v>#REF!</v>
      </c>
      <c r="BI102" s="63" t="e">
        <v>#REF!</v>
      </c>
      <c r="BJ102" s="63" t="e">
        <v>#REF!</v>
      </c>
      <c r="BK102" s="63" t="e">
        <v>#REF!</v>
      </c>
    </row>
    <row r="103" spans="2:63">
      <c r="B103" s="92" t="e">
        <v>#REF!</v>
      </c>
      <c r="C103" s="92" t="e">
        <v>#REF!</v>
      </c>
      <c r="E103" s="92" t="e">
        <v>#REF!</v>
      </c>
      <c r="F103" s="92" t="e">
        <v>#REF!</v>
      </c>
      <c r="M103" s="63" t="e">
        <v>#REF!</v>
      </c>
      <c r="N103" s="63" t="e">
        <v>#REF!</v>
      </c>
      <c r="O103" s="63" t="e">
        <v>#REF!</v>
      </c>
      <c r="P103" s="63" t="e">
        <v>#REF!</v>
      </c>
      <c r="Q103" s="63" t="e">
        <v>#REF!</v>
      </c>
      <c r="R103" s="63" t="e">
        <v>#REF!</v>
      </c>
      <c r="S103" s="63" t="e">
        <v>#REF!</v>
      </c>
      <c r="T103" s="63" t="e">
        <v>#REF!</v>
      </c>
      <c r="U103" s="63" t="e">
        <v>#REF!</v>
      </c>
      <c r="V103" s="63" t="e">
        <v>#REF!</v>
      </c>
      <c r="W103" s="63" t="e">
        <v>#REF!</v>
      </c>
      <c r="X103" s="63" t="e">
        <v>#REF!</v>
      </c>
      <c r="Y103" s="63" t="e">
        <v>#REF!</v>
      </c>
      <c r="Z103" s="63" t="e">
        <v>#REF!</v>
      </c>
      <c r="AA103" s="63" t="e">
        <v>#REF!</v>
      </c>
      <c r="AB103" s="63" t="e">
        <v>#REF!</v>
      </c>
      <c r="AC103" s="63" t="e">
        <v>#REF!</v>
      </c>
      <c r="AD103" s="63" t="e">
        <v>#REF!</v>
      </c>
      <c r="AE103" s="63" t="e">
        <v>#REF!</v>
      </c>
      <c r="AF103" s="63" t="e">
        <v>#REF!</v>
      </c>
      <c r="AH103" s="63" t="e">
        <v>#REF!</v>
      </c>
      <c r="AI103" s="63" t="e">
        <v>#REF!</v>
      </c>
      <c r="AJ103" s="63" t="e">
        <v>#REF!</v>
      </c>
      <c r="AK103" s="63" t="e">
        <v>#REF!</v>
      </c>
      <c r="AL103" s="63" t="e">
        <v>#REF!</v>
      </c>
      <c r="AM103" s="63" t="e">
        <v>#REF!</v>
      </c>
      <c r="AN103" s="63" t="e">
        <v>#REF!</v>
      </c>
      <c r="AO103" s="63" t="e">
        <v>#REF!</v>
      </c>
      <c r="AP103" s="63" t="e">
        <v>#REF!</v>
      </c>
      <c r="AQ103" s="63" t="e">
        <v>#REF!</v>
      </c>
      <c r="AR103" s="63" t="e">
        <v>#REF!</v>
      </c>
      <c r="AS103" s="63" t="e">
        <v>#REF!</v>
      </c>
      <c r="AT103" s="63" t="e">
        <v>#REF!</v>
      </c>
      <c r="AU103" s="63" t="e">
        <v>#REF!</v>
      </c>
      <c r="AV103" s="63" t="e">
        <v>#REF!</v>
      </c>
      <c r="AX103" s="63" t="e">
        <v>#REF!</v>
      </c>
      <c r="AY103" s="63" t="e">
        <v>#REF!</v>
      </c>
      <c r="AZ103" s="63" t="e">
        <v>#REF!</v>
      </c>
      <c r="BA103" s="63" t="e">
        <v>#REF!</v>
      </c>
      <c r="BB103" s="63" t="e">
        <v>#REF!</v>
      </c>
      <c r="BC103" s="63" t="e">
        <v>#REF!</v>
      </c>
      <c r="BD103" s="63" t="e">
        <v>#REF!</v>
      </c>
      <c r="BE103" s="63" t="e">
        <v>#REF!</v>
      </c>
      <c r="BF103" s="63" t="e">
        <v>#REF!</v>
      </c>
      <c r="BG103" s="63" t="e">
        <v>#REF!</v>
      </c>
      <c r="BH103" s="63" t="e">
        <v>#REF!</v>
      </c>
      <c r="BI103" s="63" t="e">
        <v>#REF!</v>
      </c>
      <c r="BJ103" s="63" t="e">
        <v>#REF!</v>
      </c>
      <c r="BK103" s="63" t="e">
        <v>#REF!</v>
      </c>
    </row>
    <row r="104" spans="2:63">
      <c r="B104" s="92" t="e">
        <v>#REF!</v>
      </c>
      <c r="C104" s="92" t="e">
        <v>#REF!</v>
      </c>
      <c r="E104" s="92" t="e">
        <v>#REF!</v>
      </c>
      <c r="F104" s="92" t="e">
        <v>#REF!</v>
      </c>
      <c r="M104" s="63" t="e">
        <v>#REF!</v>
      </c>
      <c r="N104" s="63" t="e">
        <v>#REF!</v>
      </c>
      <c r="O104" s="63" t="e">
        <v>#REF!</v>
      </c>
      <c r="P104" s="63" t="e">
        <v>#REF!</v>
      </c>
      <c r="Q104" s="63" t="e">
        <v>#REF!</v>
      </c>
      <c r="R104" s="63" t="e">
        <v>#REF!</v>
      </c>
      <c r="S104" s="63" t="e">
        <v>#REF!</v>
      </c>
      <c r="T104" s="63" t="e">
        <v>#REF!</v>
      </c>
      <c r="U104" s="63" t="e">
        <v>#REF!</v>
      </c>
      <c r="V104" s="63" t="e">
        <v>#REF!</v>
      </c>
      <c r="W104" s="63" t="e">
        <v>#REF!</v>
      </c>
      <c r="X104" s="63" t="e">
        <v>#REF!</v>
      </c>
      <c r="Y104" s="63" t="e">
        <v>#REF!</v>
      </c>
      <c r="Z104" s="63" t="e">
        <v>#REF!</v>
      </c>
      <c r="AA104" s="63" t="e">
        <v>#REF!</v>
      </c>
      <c r="AB104" s="63" t="e">
        <v>#REF!</v>
      </c>
      <c r="AC104" s="63" t="e">
        <v>#REF!</v>
      </c>
      <c r="AD104" s="63" t="e">
        <v>#REF!</v>
      </c>
      <c r="AE104" s="63" t="e">
        <v>#REF!</v>
      </c>
      <c r="AF104" s="63" t="e">
        <v>#REF!</v>
      </c>
      <c r="AH104" s="63" t="e">
        <v>#REF!</v>
      </c>
      <c r="AI104" s="63" t="e">
        <v>#REF!</v>
      </c>
      <c r="AJ104" s="63" t="e">
        <v>#REF!</v>
      </c>
      <c r="AK104" s="63" t="e">
        <v>#REF!</v>
      </c>
      <c r="AL104" s="63" t="e">
        <v>#REF!</v>
      </c>
      <c r="AM104" s="63" t="e">
        <v>#REF!</v>
      </c>
      <c r="AN104" s="63" t="e">
        <v>#REF!</v>
      </c>
      <c r="AO104" s="63" t="e">
        <v>#REF!</v>
      </c>
      <c r="AP104" s="63" t="e">
        <v>#REF!</v>
      </c>
      <c r="AQ104" s="63" t="e">
        <v>#REF!</v>
      </c>
      <c r="AR104" s="63" t="e">
        <v>#REF!</v>
      </c>
      <c r="AS104" s="63" t="e">
        <v>#REF!</v>
      </c>
      <c r="AT104" s="63" t="e">
        <v>#REF!</v>
      </c>
      <c r="AU104" s="63" t="e">
        <v>#REF!</v>
      </c>
      <c r="AV104" s="63" t="e">
        <v>#REF!</v>
      </c>
      <c r="AX104" s="63" t="e">
        <v>#REF!</v>
      </c>
      <c r="AY104" s="63" t="e">
        <v>#REF!</v>
      </c>
      <c r="AZ104" s="63" t="e">
        <v>#REF!</v>
      </c>
      <c r="BA104" s="63" t="e">
        <v>#REF!</v>
      </c>
      <c r="BB104" s="63" t="e">
        <v>#REF!</v>
      </c>
      <c r="BC104" s="63" t="e">
        <v>#REF!</v>
      </c>
      <c r="BD104" s="63" t="e">
        <v>#REF!</v>
      </c>
      <c r="BE104" s="63" t="e">
        <v>#REF!</v>
      </c>
      <c r="BF104" s="63" t="e">
        <v>#REF!</v>
      </c>
      <c r="BG104" s="63" t="e">
        <v>#REF!</v>
      </c>
      <c r="BH104" s="63" t="e">
        <v>#REF!</v>
      </c>
      <c r="BI104" s="63" t="e">
        <v>#REF!</v>
      </c>
      <c r="BJ104" s="63" t="e">
        <v>#REF!</v>
      </c>
      <c r="BK104" s="63" t="e">
        <v>#REF!</v>
      </c>
    </row>
    <row r="105" spans="2:63">
      <c r="B105" s="92" t="e">
        <v>#REF!</v>
      </c>
      <c r="C105" s="92" t="e">
        <v>#REF!</v>
      </c>
      <c r="E105" s="92" t="e">
        <v>#REF!</v>
      </c>
      <c r="F105" s="92" t="e">
        <v>#REF!</v>
      </c>
      <c r="M105" s="63" t="e">
        <v>#REF!</v>
      </c>
      <c r="N105" s="63" t="e">
        <v>#REF!</v>
      </c>
      <c r="O105" s="63" t="e">
        <v>#REF!</v>
      </c>
      <c r="P105" s="63" t="e">
        <v>#REF!</v>
      </c>
      <c r="Q105" s="63" t="e">
        <v>#REF!</v>
      </c>
      <c r="R105" s="63" t="e">
        <v>#REF!</v>
      </c>
      <c r="S105" s="63" t="e">
        <v>#REF!</v>
      </c>
      <c r="T105" s="63" t="e">
        <v>#REF!</v>
      </c>
      <c r="U105" s="63" t="e">
        <v>#REF!</v>
      </c>
      <c r="V105" s="63" t="e">
        <v>#REF!</v>
      </c>
      <c r="W105" s="63" t="e">
        <v>#REF!</v>
      </c>
      <c r="X105" s="63" t="e">
        <v>#REF!</v>
      </c>
      <c r="Y105" s="63" t="e">
        <v>#REF!</v>
      </c>
      <c r="Z105" s="63" t="e">
        <v>#REF!</v>
      </c>
      <c r="AA105" s="63" t="e">
        <v>#REF!</v>
      </c>
      <c r="AB105" s="63" t="e">
        <v>#REF!</v>
      </c>
      <c r="AC105" s="63" t="e">
        <v>#REF!</v>
      </c>
      <c r="AD105" s="63" t="e">
        <v>#REF!</v>
      </c>
      <c r="AE105" s="63" t="e">
        <v>#REF!</v>
      </c>
      <c r="AF105" s="63" t="e">
        <v>#REF!</v>
      </c>
      <c r="AH105" s="63" t="e">
        <v>#REF!</v>
      </c>
      <c r="AI105" s="63" t="e">
        <v>#REF!</v>
      </c>
      <c r="AJ105" s="63" t="e">
        <v>#REF!</v>
      </c>
      <c r="AK105" s="63" t="e">
        <v>#REF!</v>
      </c>
      <c r="AL105" s="63" t="e">
        <v>#REF!</v>
      </c>
      <c r="AM105" s="63" t="e">
        <v>#REF!</v>
      </c>
      <c r="AN105" s="63" t="e">
        <v>#REF!</v>
      </c>
      <c r="AO105" s="63" t="e">
        <v>#REF!</v>
      </c>
      <c r="AP105" s="63" t="e">
        <v>#REF!</v>
      </c>
      <c r="AQ105" s="63" t="e">
        <v>#REF!</v>
      </c>
      <c r="AR105" s="63" t="e">
        <v>#REF!</v>
      </c>
      <c r="AS105" s="63" t="e">
        <v>#REF!</v>
      </c>
      <c r="AT105" s="63" t="e">
        <v>#REF!</v>
      </c>
      <c r="AU105" s="63" t="e">
        <v>#REF!</v>
      </c>
      <c r="AV105" s="63" t="e">
        <v>#REF!</v>
      </c>
      <c r="AX105" s="63" t="e">
        <v>#REF!</v>
      </c>
      <c r="AY105" s="63" t="e">
        <v>#REF!</v>
      </c>
      <c r="AZ105" s="63" t="e">
        <v>#REF!</v>
      </c>
      <c r="BA105" s="63" t="e">
        <v>#REF!</v>
      </c>
      <c r="BB105" s="63" t="e">
        <v>#REF!</v>
      </c>
      <c r="BC105" s="63" t="e">
        <v>#REF!</v>
      </c>
      <c r="BD105" s="63" t="e">
        <v>#REF!</v>
      </c>
      <c r="BE105" s="63" t="e">
        <v>#REF!</v>
      </c>
      <c r="BF105" s="63" t="e">
        <v>#REF!</v>
      </c>
      <c r="BG105" s="63" t="e">
        <v>#REF!</v>
      </c>
      <c r="BH105" s="63" t="e">
        <v>#REF!</v>
      </c>
      <c r="BI105" s="63" t="e">
        <v>#REF!</v>
      </c>
      <c r="BJ105" s="63" t="e">
        <v>#REF!</v>
      </c>
      <c r="BK105" s="63" t="e">
        <v>#REF!</v>
      </c>
    </row>
    <row r="106" spans="2:63">
      <c r="B106" s="92" t="e">
        <v>#REF!</v>
      </c>
      <c r="C106" s="92" t="e">
        <v>#REF!</v>
      </c>
      <c r="E106" s="92" t="e">
        <v>#REF!</v>
      </c>
      <c r="F106" s="92" t="e">
        <v>#REF!</v>
      </c>
      <c r="M106" s="63" t="e">
        <v>#REF!</v>
      </c>
      <c r="N106" s="63" t="e">
        <v>#REF!</v>
      </c>
      <c r="O106" s="63" t="e">
        <v>#REF!</v>
      </c>
      <c r="P106" s="63" t="e">
        <v>#REF!</v>
      </c>
      <c r="Q106" s="63" t="e">
        <v>#REF!</v>
      </c>
      <c r="R106" s="63" t="e">
        <v>#REF!</v>
      </c>
      <c r="S106" s="63" t="e">
        <v>#REF!</v>
      </c>
      <c r="T106" s="63" t="e">
        <v>#REF!</v>
      </c>
      <c r="U106" s="63" t="e">
        <v>#REF!</v>
      </c>
      <c r="V106" s="63" t="e">
        <v>#REF!</v>
      </c>
      <c r="W106" s="63" t="e">
        <v>#REF!</v>
      </c>
      <c r="X106" s="63" t="e">
        <v>#REF!</v>
      </c>
      <c r="Y106" s="63" t="e">
        <v>#REF!</v>
      </c>
      <c r="Z106" s="63" t="e">
        <v>#REF!</v>
      </c>
      <c r="AA106" s="63" t="e">
        <v>#REF!</v>
      </c>
      <c r="AB106" s="63" t="e">
        <v>#REF!</v>
      </c>
      <c r="AC106" s="63" t="e">
        <v>#REF!</v>
      </c>
      <c r="AD106" s="63" t="e">
        <v>#REF!</v>
      </c>
      <c r="AE106" s="63" t="e">
        <v>#REF!</v>
      </c>
      <c r="AF106" s="63" t="e">
        <v>#REF!</v>
      </c>
      <c r="AH106" s="63" t="e">
        <v>#REF!</v>
      </c>
      <c r="AI106" s="63" t="e">
        <v>#REF!</v>
      </c>
      <c r="AJ106" s="63" t="e">
        <v>#REF!</v>
      </c>
      <c r="AK106" s="63" t="e">
        <v>#REF!</v>
      </c>
      <c r="AL106" s="63" t="e">
        <v>#REF!</v>
      </c>
      <c r="AM106" s="63" t="e">
        <v>#REF!</v>
      </c>
      <c r="AN106" s="63" t="e">
        <v>#REF!</v>
      </c>
      <c r="AO106" s="63" t="e">
        <v>#REF!</v>
      </c>
      <c r="AP106" s="63" t="e">
        <v>#REF!</v>
      </c>
      <c r="AQ106" s="63" t="e">
        <v>#REF!</v>
      </c>
      <c r="AR106" s="63" t="e">
        <v>#REF!</v>
      </c>
      <c r="AS106" s="63" t="e">
        <v>#REF!</v>
      </c>
      <c r="AT106" s="63" t="e">
        <v>#REF!</v>
      </c>
      <c r="AU106" s="63" t="e">
        <v>#REF!</v>
      </c>
      <c r="AV106" s="63" t="e">
        <v>#REF!</v>
      </c>
      <c r="AX106" s="63" t="e">
        <v>#REF!</v>
      </c>
      <c r="AY106" s="63" t="e">
        <v>#REF!</v>
      </c>
      <c r="AZ106" s="63" t="e">
        <v>#REF!</v>
      </c>
      <c r="BA106" s="63" t="e">
        <v>#REF!</v>
      </c>
      <c r="BB106" s="63" t="e">
        <v>#REF!</v>
      </c>
      <c r="BC106" s="63" t="e">
        <v>#REF!</v>
      </c>
      <c r="BD106" s="63" t="e">
        <v>#REF!</v>
      </c>
      <c r="BE106" s="63" t="e">
        <v>#REF!</v>
      </c>
      <c r="BF106" s="63" t="e">
        <v>#REF!</v>
      </c>
      <c r="BG106" s="63" t="e">
        <v>#REF!</v>
      </c>
      <c r="BH106" s="63" t="e">
        <v>#REF!</v>
      </c>
      <c r="BI106" s="63" t="e">
        <v>#REF!</v>
      </c>
      <c r="BJ106" s="63" t="e">
        <v>#REF!</v>
      </c>
      <c r="BK106" s="63" t="e">
        <v>#REF!</v>
      </c>
    </row>
    <row r="107" spans="2:63">
      <c r="B107" s="92" t="e">
        <v>#REF!</v>
      </c>
      <c r="C107" s="92" t="e">
        <v>#REF!</v>
      </c>
      <c r="E107" s="92" t="e">
        <v>#REF!</v>
      </c>
      <c r="F107" s="92" t="e">
        <v>#REF!</v>
      </c>
      <c r="M107" s="63" t="e">
        <v>#REF!</v>
      </c>
      <c r="N107" s="63" t="e">
        <v>#REF!</v>
      </c>
      <c r="O107" s="63" t="e">
        <v>#REF!</v>
      </c>
      <c r="P107" s="63" t="e">
        <v>#REF!</v>
      </c>
      <c r="Q107" s="63" t="e">
        <v>#REF!</v>
      </c>
      <c r="R107" s="63" t="e">
        <v>#REF!</v>
      </c>
      <c r="S107" s="63" t="e">
        <v>#REF!</v>
      </c>
      <c r="T107" s="63" t="e">
        <v>#REF!</v>
      </c>
      <c r="U107" s="63" t="e">
        <v>#REF!</v>
      </c>
      <c r="V107" s="63" t="e">
        <v>#REF!</v>
      </c>
      <c r="W107" s="63" t="e">
        <v>#REF!</v>
      </c>
      <c r="X107" s="63" t="e">
        <v>#REF!</v>
      </c>
      <c r="Y107" s="63" t="e">
        <v>#REF!</v>
      </c>
      <c r="Z107" s="63" t="e">
        <v>#REF!</v>
      </c>
      <c r="AA107" s="63" t="e">
        <v>#REF!</v>
      </c>
      <c r="AB107" s="63" t="e">
        <v>#REF!</v>
      </c>
      <c r="AC107" s="63" t="e">
        <v>#REF!</v>
      </c>
      <c r="AD107" s="63" t="e">
        <v>#REF!</v>
      </c>
      <c r="AE107" s="63" t="e">
        <v>#REF!</v>
      </c>
      <c r="AF107" s="63" t="e">
        <v>#REF!</v>
      </c>
      <c r="AH107" s="63" t="e">
        <v>#REF!</v>
      </c>
      <c r="AI107" s="63" t="e">
        <v>#REF!</v>
      </c>
      <c r="AJ107" s="63" t="e">
        <v>#REF!</v>
      </c>
      <c r="AK107" s="63" t="e">
        <v>#REF!</v>
      </c>
      <c r="AL107" s="63" t="e">
        <v>#REF!</v>
      </c>
      <c r="AM107" s="63" t="e">
        <v>#REF!</v>
      </c>
      <c r="AN107" s="63" t="e">
        <v>#REF!</v>
      </c>
      <c r="AO107" s="63" t="e">
        <v>#REF!</v>
      </c>
      <c r="AP107" s="63" t="e">
        <v>#REF!</v>
      </c>
      <c r="AQ107" s="63" t="e">
        <v>#REF!</v>
      </c>
      <c r="AR107" s="63" t="e">
        <v>#REF!</v>
      </c>
      <c r="AS107" s="63" t="e">
        <v>#REF!</v>
      </c>
      <c r="AT107" s="63" t="e">
        <v>#REF!</v>
      </c>
      <c r="AU107" s="63" t="e">
        <v>#REF!</v>
      </c>
      <c r="AV107" s="63" t="e">
        <v>#REF!</v>
      </c>
      <c r="AX107" s="63" t="e">
        <v>#REF!</v>
      </c>
      <c r="AY107" s="63" t="e">
        <v>#REF!</v>
      </c>
      <c r="AZ107" s="63" t="e">
        <v>#REF!</v>
      </c>
      <c r="BA107" s="63" t="e">
        <v>#REF!</v>
      </c>
      <c r="BB107" s="63" t="e">
        <v>#REF!</v>
      </c>
      <c r="BC107" s="63" t="e">
        <v>#REF!</v>
      </c>
      <c r="BD107" s="63" t="e">
        <v>#REF!</v>
      </c>
      <c r="BE107" s="63" t="e">
        <v>#REF!</v>
      </c>
      <c r="BF107" s="63" t="e">
        <v>#REF!</v>
      </c>
      <c r="BG107" s="63" t="e">
        <v>#REF!</v>
      </c>
      <c r="BH107" s="63" t="e">
        <v>#REF!</v>
      </c>
      <c r="BI107" s="63" t="e">
        <v>#REF!</v>
      </c>
      <c r="BJ107" s="63" t="e">
        <v>#REF!</v>
      </c>
      <c r="BK107" s="63" t="e">
        <v>#REF!</v>
      </c>
    </row>
    <row r="108" spans="2:63">
      <c r="B108" s="92" t="e">
        <v>#REF!</v>
      </c>
      <c r="C108" s="92" t="e">
        <v>#REF!</v>
      </c>
      <c r="E108" s="92" t="e">
        <v>#REF!</v>
      </c>
      <c r="F108" s="92" t="e">
        <v>#REF!</v>
      </c>
      <c r="M108" s="63" t="e">
        <v>#REF!</v>
      </c>
      <c r="N108" s="63" t="e">
        <v>#REF!</v>
      </c>
      <c r="O108" s="63" t="e">
        <v>#REF!</v>
      </c>
      <c r="P108" s="63" t="e">
        <v>#REF!</v>
      </c>
      <c r="Q108" s="63" t="e">
        <v>#REF!</v>
      </c>
      <c r="R108" s="63" t="e">
        <v>#REF!</v>
      </c>
      <c r="S108" s="63" t="e">
        <v>#REF!</v>
      </c>
      <c r="T108" s="63" t="e">
        <v>#REF!</v>
      </c>
      <c r="U108" s="63" t="e">
        <v>#REF!</v>
      </c>
      <c r="V108" s="63" t="e">
        <v>#REF!</v>
      </c>
      <c r="W108" s="63" t="e">
        <v>#REF!</v>
      </c>
      <c r="X108" s="63" t="e">
        <v>#REF!</v>
      </c>
      <c r="Y108" s="63" t="e">
        <v>#REF!</v>
      </c>
      <c r="Z108" s="63" t="e">
        <v>#REF!</v>
      </c>
      <c r="AA108" s="63" t="e">
        <v>#REF!</v>
      </c>
      <c r="AB108" s="63" t="e">
        <v>#REF!</v>
      </c>
      <c r="AC108" s="63" t="e">
        <v>#REF!</v>
      </c>
      <c r="AD108" s="63" t="e">
        <v>#REF!</v>
      </c>
      <c r="AE108" s="63" t="e">
        <v>#REF!</v>
      </c>
      <c r="AF108" s="63" t="e">
        <v>#REF!</v>
      </c>
      <c r="AH108" s="63" t="e">
        <v>#REF!</v>
      </c>
      <c r="AI108" s="63" t="e">
        <v>#REF!</v>
      </c>
      <c r="AJ108" s="63" t="e">
        <v>#REF!</v>
      </c>
      <c r="AK108" s="63" t="e">
        <v>#REF!</v>
      </c>
      <c r="AL108" s="63" t="e">
        <v>#REF!</v>
      </c>
      <c r="AM108" s="63" t="e">
        <v>#REF!</v>
      </c>
      <c r="AN108" s="63" t="e">
        <v>#REF!</v>
      </c>
      <c r="AO108" s="63" t="e">
        <v>#REF!</v>
      </c>
      <c r="AP108" s="63" t="e">
        <v>#REF!</v>
      </c>
      <c r="AQ108" s="63" t="e">
        <v>#REF!</v>
      </c>
      <c r="AR108" s="63" t="e">
        <v>#REF!</v>
      </c>
      <c r="AS108" s="63" t="e">
        <v>#REF!</v>
      </c>
      <c r="AT108" s="63" t="e">
        <v>#REF!</v>
      </c>
      <c r="AU108" s="63" t="e">
        <v>#REF!</v>
      </c>
      <c r="AV108" s="63" t="e">
        <v>#REF!</v>
      </c>
      <c r="AX108" s="63" t="e">
        <v>#REF!</v>
      </c>
      <c r="AY108" s="63" t="e">
        <v>#REF!</v>
      </c>
      <c r="AZ108" s="63" t="e">
        <v>#REF!</v>
      </c>
      <c r="BA108" s="63" t="e">
        <v>#REF!</v>
      </c>
      <c r="BB108" s="63" t="e">
        <v>#REF!</v>
      </c>
      <c r="BC108" s="63" t="e">
        <v>#REF!</v>
      </c>
      <c r="BD108" s="63" t="e">
        <v>#REF!</v>
      </c>
      <c r="BE108" s="63" t="e">
        <v>#REF!</v>
      </c>
      <c r="BF108" s="63" t="e">
        <v>#REF!</v>
      </c>
      <c r="BG108" s="63" t="e">
        <v>#REF!</v>
      </c>
      <c r="BH108" s="63" t="e">
        <v>#REF!</v>
      </c>
      <c r="BI108" s="63" t="e">
        <v>#REF!</v>
      </c>
      <c r="BJ108" s="63" t="e">
        <v>#REF!</v>
      </c>
      <c r="BK108" s="63" t="e">
        <v>#REF!</v>
      </c>
    </row>
    <row r="109" spans="2:63">
      <c r="B109" s="92" t="e">
        <v>#REF!</v>
      </c>
      <c r="C109" s="92" t="e">
        <v>#REF!</v>
      </c>
      <c r="E109" s="92" t="e">
        <v>#REF!</v>
      </c>
      <c r="F109" s="92" t="e">
        <v>#REF!</v>
      </c>
      <c r="M109" s="63" t="e">
        <v>#REF!</v>
      </c>
      <c r="N109" s="63" t="e">
        <v>#REF!</v>
      </c>
      <c r="O109" s="63" t="e">
        <v>#REF!</v>
      </c>
      <c r="P109" s="63" t="e">
        <v>#REF!</v>
      </c>
      <c r="Q109" s="63" t="e">
        <v>#REF!</v>
      </c>
      <c r="R109" s="63" t="e">
        <v>#REF!</v>
      </c>
      <c r="S109" s="63" t="e">
        <v>#REF!</v>
      </c>
      <c r="T109" s="63" t="e">
        <v>#REF!</v>
      </c>
      <c r="U109" s="63" t="e">
        <v>#REF!</v>
      </c>
      <c r="V109" s="63" t="e">
        <v>#REF!</v>
      </c>
      <c r="W109" s="63" t="e">
        <v>#REF!</v>
      </c>
      <c r="X109" s="63" t="e">
        <v>#REF!</v>
      </c>
      <c r="Y109" s="63" t="e">
        <v>#REF!</v>
      </c>
      <c r="Z109" s="63" t="e">
        <v>#REF!</v>
      </c>
      <c r="AA109" s="63" t="e">
        <v>#REF!</v>
      </c>
      <c r="AB109" s="63" t="e">
        <v>#REF!</v>
      </c>
      <c r="AC109" s="63" t="e">
        <v>#REF!</v>
      </c>
      <c r="AD109" s="63" t="e">
        <v>#REF!</v>
      </c>
      <c r="AE109" s="63" t="e">
        <v>#REF!</v>
      </c>
      <c r="AF109" s="63" t="e">
        <v>#REF!</v>
      </c>
      <c r="AH109" s="63" t="e">
        <v>#REF!</v>
      </c>
      <c r="AI109" s="63" t="e">
        <v>#REF!</v>
      </c>
      <c r="AJ109" s="63" t="e">
        <v>#REF!</v>
      </c>
      <c r="AK109" s="63" t="e">
        <v>#REF!</v>
      </c>
      <c r="AL109" s="63" t="e">
        <v>#REF!</v>
      </c>
      <c r="AM109" s="63" t="e">
        <v>#REF!</v>
      </c>
      <c r="AN109" s="63" t="e">
        <v>#REF!</v>
      </c>
      <c r="AO109" s="63" t="e">
        <v>#REF!</v>
      </c>
      <c r="AP109" s="63" t="e">
        <v>#REF!</v>
      </c>
      <c r="AQ109" s="63" t="e">
        <v>#REF!</v>
      </c>
      <c r="AR109" s="63" t="e">
        <v>#REF!</v>
      </c>
      <c r="AS109" s="63" t="e">
        <v>#REF!</v>
      </c>
      <c r="AT109" s="63" t="e">
        <v>#REF!</v>
      </c>
      <c r="AU109" s="63" t="e">
        <v>#REF!</v>
      </c>
      <c r="AV109" s="63" t="e">
        <v>#REF!</v>
      </c>
      <c r="AX109" s="63" t="e">
        <v>#REF!</v>
      </c>
      <c r="AY109" s="63" t="e">
        <v>#REF!</v>
      </c>
      <c r="AZ109" s="63" t="e">
        <v>#REF!</v>
      </c>
      <c r="BA109" s="63" t="e">
        <v>#REF!</v>
      </c>
      <c r="BB109" s="63" t="e">
        <v>#REF!</v>
      </c>
      <c r="BC109" s="63" t="e">
        <v>#REF!</v>
      </c>
      <c r="BD109" s="63" t="e">
        <v>#REF!</v>
      </c>
      <c r="BE109" s="63" t="e">
        <v>#REF!</v>
      </c>
      <c r="BF109" s="63" t="e">
        <v>#REF!</v>
      </c>
      <c r="BG109" s="63" t="e">
        <v>#REF!</v>
      </c>
      <c r="BH109" s="63" t="e">
        <v>#REF!</v>
      </c>
      <c r="BI109" s="63" t="e">
        <v>#REF!</v>
      </c>
      <c r="BJ109" s="63" t="e">
        <v>#REF!</v>
      </c>
      <c r="BK109" s="63" t="e">
        <v>#REF!</v>
      </c>
    </row>
    <row r="110" spans="2:63">
      <c r="B110" s="92" t="e">
        <v>#REF!</v>
      </c>
      <c r="C110" s="92" t="e">
        <v>#REF!</v>
      </c>
      <c r="E110" s="92" t="e">
        <v>#REF!</v>
      </c>
      <c r="F110" s="92" t="e">
        <v>#REF!</v>
      </c>
      <c r="M110" s="63" t="e">
        <v>#REF!</v>
      </c>
      <c r="N110" s="63" t="e">
        <v>#REF!</v>
      </c>
      <c r="O110" s="63" t="e">
        <v>#REF!</v>
      </c>
      <c r="P110" s="63" t="e">
        <v>#REF!</v>
      </c>
      <c r="Q110" s="63" t="e">
        <v>#REF!</v>
      </c>
      <c r="R110" s="63" t="e">
        <v>#REF!</v>
      </c>
      <c r="S110" s="63" t="e">
        <v>#REF!</v>
      </c>
      <c r="T110" s="63" t="e">
        <v>#REF!</v>
      </c>
      <c r="U110" s="63" t="e">
        <v>#REF!</v>
      </c>
      <c r="V110" s="63" t="e">
        <v>#REF!</v>
      </c>
      <c r="W110" s="63" t="e">
        <v>#REF!</v>
      </c>
      <c r="X110" s="63" t="e">
        <v>#REF!</v>
      </c>
      <c r="Y110" s="63" t="e">
        <v>#REF!</v>
      </c>
      <c r="Z110" s="63" t="e">
        <v>#REF!</v>
      </c>
      <c r="AA110" s="63" t="e">
        <v>#REF!</v>
      </c>
      <c r="AB110" s="63" t="e">
        <v>#REF!</v>
      </c>
      <c r="AC110" s="63" t="e">
        <v>#REF!</v>
      </c>
      <c r="AD110" s="63" t="e">
        <v>#REF!</v>
      </c>
      <c r="AE110" s="63" t="e">
        <v>#REF!</v>
      </c>
      <c r="AF110" s="63" t="e">
        <v>#REF!</v>
      </c>
      <c r="AH110" s="63" t="e">
        <v>#REF!</v>
      </c>
      <c r="AI110" s="63" t="e">
        <v>#REF!</v>
      </c>
      <c r="AJ110" s="63" t="e">
        <v>#REF!</v>
      </c>
      <c r="AK110" s="63" t="e">
        <v>#REF!</v>
      </c>
      <c r="AL110" s="63" t="e">
        <v>#REF!</v>
      </c>
      <c r="AM110" s="63" t="e">
        <v>#REF!</v>
      </c>
      <c r="AN110" s="63" t="e">
        <v>#REF!</v>
      </c>
      <c r="AO110" s="63" t="e">
        <v>#REF!</v>
      </c>
      <c r="AP110" s="63" t="e">
        <v>#REF!</v>
      </c>
      <c r="AQ110" s="63" t="e">
        <v>#REF!</v>
      </c>
      <c r="AR110" s="63" t="e">
        <v>#REF!</v>
      </c>
      <c r="AS110" s="63" t="e">
        <v>#REF!</v>
      </c>
      <c r="AT110" s="63" t="e">
        <v>#REF!</v>
      </c>
      <c r="AU110" s="63" t="e">
        <v>#REF!</v>
      </c>
      <c r="AV110" s="63" t="e">
        <v>#REF!</v>
      </c>
      <c r="AX110" s="63" t="e">
        <v>#REF!</v>
      </c>
      <c r="AY110" s="63" t="e">
        <v>#REF!</v>
      </c>
      <c r="AZ110" s="63" t="e">
        <v>#REF!</v>
      </c>
      <c r="BA110" s="63" t="e">
        <v>#REF!</v>
      </c>
      <c r="BB110" s="63" t="e">
        <v>#REF!</v>
      </c>
      <c r="BC110" s="63" t="e">
        <v>#REF!</v>
      </c>
      <c r="BD110" s="63" t="e">
        <v>#REF!</v>
      </c>
      <c r="BE110" s="63" t="e">
        <v>#REF!</v>
      </c>
      <c r="BF110" s="63" t="e">
        <v>#REF!</v>
      </c>
      <c r="BG110" s="63" t="e">
        <v>#REF!</v>
      </c>
      <c r="BH110" s="63" t="e">
        <v>#REF!</v>
      </c>
      <c r="BI110" s="63" t="e">
        <v>#REF!</v>
      </c>
      <c r="BJ110" s="63" t="e">
        <v>#REF!</v>
      </c>
      <c r="BK110" s="63" t="e">
        <v>#REF!</v>
      </c>
    </row>
    <row r="111" spans="2:63">
      <c r="B111" s="92" t="e">
        <v>#REF!</v>
      </c>
      <c r="C111" s="92" t="e">
        <v>#REF!</v>
      </c>
      <c r="E111" s="92" t="e">
        <v>#REF!</v>
      </c>
      <c r="F111" s="92" t="e">
        <v>#REF!</v>
      </c>
      <c r="M111" s="63" t="e">
        <v>#REF!</v>
      </c>
      <c r="N111" s="63" t="e">
        <v>#REF!</v>
      </c>
      <c r="O111" s="63" t="e">
        <v>#REF!</v>
      </c>
      <c r="P111" s="63" t="e">
        <v>#REF!</v>
      </c>
      <c r="Q111" s="63" t="e">
        <v>#REF!</v>
      </c>
      <c r="R111" s="63" t="e">
        <v>#REF!</v>
      </c>
      <c r="S111" s="63" t="e">
        <v>#REF!</v>
      </c>
      <c r="T111" s="63" t="e">
        <v>#REF!</v>
      </c>
      <c r="U111" s="63" t="e">
        <v>#REF!</v>
      </c>
      <c r="V111" s="63" t="e">
        <v>#REF!</v>
      </c>
      <c r="W111" s="63" t="e">
        <v>#REF!</v>
      </c>
      <c r="X111" s="63" t="e">
        <v>#REF!</v>
      </c>
      <c r="Y111" s="63" t="e">
        <v>#REF!</v>
      </c>
      <c r="Z111" s="63" t="e">
        <v>#REF!</v>
      </c>
      <c r="AA111" s="63" t="e">
        <v>#REF!</v>
      </c>
      <c r="AB111" s="63" t="e">
        <v>#REF!</v>
      </c>
      <c r="AC111" s="63" t="e">
        <v>#REF!</v>
      </c>
      <c r="AD111" s="63" t="e">
        <v>#REF!</v>
      </c>
      <c r="AE111" s="63" t="e">
        <v>#REF!</v>
      </c>
      <c r="AF111" s="63" t="e">
        <v>#REF!</v>
      </c>
      <c r="AH111" s="63" t="e">
        <v>#REF!</v>
      </c>
      <c r="AI111" s="63" t="e">
        <v>#REF!</v>
      </c>
      <c r="AJ111" s="63" t="e">
        <v>#REF!</v>
      </c>
      <c r="AK111" s="63" t="e">
        <v>#REF!</v>
      </c>
      <c r="AL111" s="63" t="e">
        <v>#REF!</v>
      </c>
      <c r="AM111" s="63" t="e">
        <v>#REF!</v>
      </c>
      <c r="AN111" s="63" t="e">
        <v>#REF!</v>
      </c>
      <c r="AO111" s="63" t="e">
        <v>#REF!</v>
      </c>
      <c r="AP111" s="63" t="e">
        <v>#REF!</v>
      </c>
      <c r="AQ111" s="63" t="e">
        <v>#REF!</v>
      </c>
      <c r="AR111" s="63" t="e">
        <v>#REF!</v>
      </c>
      <c r="AS111" s="63" t="e">
        <v>#REF!</v>
      </c>
      <c r="AT111" s="63" t="e">
        <v>#REF!</v>
      </c>
      <c r="AU111" s="63" t="e">
        <v>#REF!</v>
      </c>
      <c r="AV111" s="63" t="e">
        <v>#REF!</v>
      </c>
      <c r="AX111" s="63" t="e">
        <v>#REF!</v>
      </c>
      <c r="AY111" s="63" t="e">
        <v>#REF!</v>
      </c>
      <c r="AZ111" s="63" t="e">
        <v>#REF!</v>
      </c>
      <c r="BA111" s="63" t="e">
        <v>#REF!</v>
      </c>
      <c r="BB111" s="63" t="e">
        <v>#REF!</v>
      </c>
      <c r="BC111" s="63" t="e">
        <v>#REF!</v>
      </c>
      <c r="BD111" s="63" t="e">
        <v>#REF!</v>
      </c>
      <c r="BE111" s="63" t="e">
        <v>#REF!</v>
      </c>
      <c r="BF111" s="63" t="e">
        <v>#REF!</v>
      </c>
      <c r="BG111" s="63" t="e">
        <v>#REF!</v>
      </c>
      <c r="BH111" s="63" t="e">
        <v>#REF!</v>
      </c>
      <c r="BI111" s="63" t="e">
        <v>#REF!</v>
      </c>
      <c r="BJ111" s="63" t="e">
        <v>#REF!</v>
      </c>
      <c r="BK111" s="63" t="e">
        <v>#REF!</v>
      </c>
    </row>
    <row r="112" spans="2:63">
      <c r="B112" s="92" t="e">
        <v>#REF!</v>
      </c>
      <c r="C112" s="92" t="e">
        <v>#REF!</v>
      </c>
      <c r="E112" s="92" t="e">
        <v>#REF!</v>
      </c>
      <c r="F112" s="92" t="e">
        <v>#REF!</v>
      </c>
      <c r="M112" s="63" t="e">
        <v>#REF!</v>
      </c>
      <c r="N112" s="63" t="e">
        <v>#REF!</v>
      </c>
      <c r="O112" s="63" t="e">
        <v>#REF!</v>
      </c>
      <c r="P112" s="63" t="e">
        <v>#REF!</v>
      </c>
      <c r="Q112" s="63" t="e">
        <v>#REF!</v>
      </c>
      <c r="R112" s="63" t="e">
        <v>#REF!</v>
      </c>
      <c r="S112" s="63" t="e">
        <v>#REF!</v>
      </c>
      <c r="T112" s="63" t="e">
        <v>#REF!</v>
      </c>
      <c r="U112" s="63" t="e">
        <v>#REF!</v>
      </c>
      <c r="V112" s="63" t="e">
        <v>#REF!</v>
      </c>
      <c r="W112" s="63" t="e">
        <v>#REF!</v>
      </c>
      <c r="X112" s="63" t="e">
        <v>#REF!</v>
      </c>
      <c r="Y112" s="63" t="e">
        <v>#REF!</v>
      </c>
      <c r="Z112" s="63" t="e">
        <v>#REF!</v>
      </c>
      <c r="AA112" s="63" t="e">
        <v>#REF!</v>
      </c>
      <c r="AB112" s="63" t="e">
        <v>#REF!</v>
      </c>
      <c r="AC112" s="63" t="e">
        <v>#REF!</v>
      </c>
      <c r="AD112" s="63" t="e">
        <v>#REF!</v>
      </c>
      <c r="AE112" s="63" t="e">
        <v>#REF!</v>
      </c>
      <c r="AF112" s="63" t="e">
        <v>#REF!</v>
      </c>
      <c r="AH112" s="63" t="e">
        <v>#REF!</v>
      </c>
      <c r="AI112" s="63" t="e">
        <v>#REF!</v>
      </c>
      <c r="AJ112" s="63" t="e">
        <v>#REF!</v>
      </c>
      <c r="AK112" s="63" t="e">
        <v>#REF!</v>
      </c>
      <c r="AL112" s="63" t="e">
        <v>#REF!</v>
      </c>
      <c r="AM112" s="63" t="e">
        <v>#REF!</v>
      </c>
      <c r="AN112" s="63" t="e">
        <v>#REF!</v>
      </c>
      <c r="AO112" s="63" t="e">
        <v>#REF!</v>
      </c>
      <c r="AP112" s="63" t="e">
        <v>#REF!</v>
      </c>
      <c r="AQ112" s="63" t="e">
        <v>#REF!</v>
      </c>
      <c r="AR112" s="63" t="e">
        <v>#REF!</v>
      </c>
      <c r="AS112" s="63" t="e">
        <v>#REF!</v>
      </c>
      <c r="AT112" s="63" t="e">
        <v>#REF!</v>
      </c>
      <c r="AU112" s="63" t="e">
        <v>#REF!</v>
      </c>
      <c r="AV112" s="63" t="e">
        <v>#REF!</v>
      </c>
      <c r="AX112" s="63" t="e">
        <v>#REF!</v>
      </c>
      <c r="AY112" s="63" t="e">
        <v>#REF!</v>
      </c>
      <c r="AZ112" s="63" t="e">
        <v>#REF!</v>
      </c>
      <c r="BA112" s="63" t="e">
        <v>#REF!</v>
      </c>
      <c r="BB112" s="63" t="e">
        <v>#REF!</v>
      </c>
      <c r="BC112" s="63" t="e">
        <v>#REF!</v>
      </c>
      <c r="BD112" s="63" t="e">
        <v>#REF!</v>
      </c>
      <c r="BE112" s="63" t="e">
        <v>#REF!</v>
      </c>
      <c r="BF112" s="63" t="e">
        <v>#REF!</v>
      </c>
      <c r="BG112" s="63" t="e">
        <v>#REF!</v>
      </c>
      <c r="BH112" s="63" t="e">
        <v>#REF!</v>
      </c>
      <c r="BI112" s="63" t="e">
        <v>#REF!</v>
      </c>
      <c r="BJ112" s="63" t="e">
        <v>#REF!</v>
      </c>
      <c r="BK112" s="63" t="e">
        <v>#REF!</v>
      </c>
    </row>
    <row r="113" spans="2:63">
      <c r="B113" s="92" t="e">
        <v>#REF!</v>
      </c>
      <c r="C113" s="92" t="e">
        <v>#REF!</v>
      </c>
      <c r="E113" s="92" t="e">
        <v>#REF!</v>
      </c>
      <c r="F113" s="92" t="e">
        <v>#REF!</v>
      </c>
      <c r="M113" s="63" t="e">
        <v>#REF!</v>
      </c>
      <c r="N113" s="63" t="e">
        <v>#REF!</v>
      </c>
      <c r="O113" s="63" t="e">
        <v>#REF!</v>
      </c>
      <c r="P113" s="63" t="e">
        <v>#REF!</v>
      </c>
      <c r="Q113" s="63" t="e">
        <v>#REF!</v>
      </c>
      <c r="R113" s="63" t="e">
        <v>#REF!</v>
      </c>
      <c r="S113" s="63" t="e">
        <v>#REF!</v>
      </c>
      <c r="T113" s="63" t="e">
        <v>#REF!</v>
      </c>
      <c r="U113" s="63" t="e">
        <v>#REF!</v>
      </c>
      <c r="V113" s="63" t="e">
        <v>#REF!</v>
      </c>
      <c r="W113" s="63" t="e">
        <v>#REF!</v>
      </c>
      <c r="X113" s="63" t="e">
        <v>#REF!</v>
      </c>
      <c r="Y113" s="63" t="e">
        <v>#REF!</v>
      </c>
      <c r="Z113" s="63" t="e">
        <v>#REF!</v>
      </c>
      <c r="AA113" s="63" t="e">
        <v>#REF!</v>
      </c>
      <c r="AB113" s="63" t="e">
        <v>#REF!</v>
      </c>
      <c r="AC113" s="63" t="e">
        <v>#REF!</v>
      </c>
      <c r="AD113" s="63" t="e">
        <v>#REF!</v>
      </c>
      <c r="AE113" s="63" t="e">
        <v>#REF!</v>
      </c>
      <c r="AF113" s="63" t="e">
        <v>#REF!</v>
      </c>
      <c r="AH113" s="63" t="e">
        <v>#REF!</v>
      </c>
      <c r="AI113" s="63" t="e">
        <v>#REF!</v>
      </c>
      <c r="AJ113" s="63" t="e">
        <v>#REF!</v>
      </c>
      <c r="AK113" s="63" t="e">
        <v>#REF!</v>
      </c>
      <c r="AL113" s="63" t="e">
        <v>#REF!</v>
      </c>
      <c r="AM113" s="63" t="e">
        <v>#REF!</v>
      </c>
      <c r="AN113" s="63" t="e">
        <v>#REF!</v>
      </c>
      <c r="AO113" s="63" t="e">
        <v>#REF!</v>
      </c>
      <c r="AP113" s="63" t="e">
        <v>#REF!</v>
      </c>
      <c r="AQ113" s="63" t="e">
        <v>#REF!</v>
      </c>
      <c r="AR113" s="63" t="e">
        <v>#REF!</v>
      </c>
      <c r="AS113" s="63" t="e">
        <v>#REF!</v>
      </c>
      <c r="AT113" s="63" t="e">
        <v>#REF!</v>
      </c>
      <c r="AU113" s="63" t="e">
        <v>#REF!</v>
      </c>
      <c r="AV113" s="63" t="e">
        <v>#REF!</v>
      </c>
      <c r="AX113" s="63" t="e">
        <v>#REF!</v>
      </c>
      <c r="AY113" s="63" t="e">
        <v>#REF!</v>
      </c>
      <c r="AZ113" s="63" t="e">
        <v>#REF!</v>
      </c>
      <c r="BA113" s="63" t="e">
        <v>#REF!</v>
      </c>
      <c r="BB113" s="63" t="e">
        <v>#REF!</v>
      </c>
      <c r="BC113" s="63" t="e">
        <v>#REF!</v>
      </c>
      <c r="BD113" s="63" t="e">
        <v>#REF!</v>
      </c>
      <c r="BE113" s="63" t="e">
        <v>#REF!</v>
      </c>
      <c r="BF113" s="63" t="e">
        <v>#REF!</v>
      </c>
      <c r="BG113" s="63" t="e">
        <v>#REF!</v>
      </c>
      <c r="BH113" s="63" t="e">
        <v>#REF!</v>
      </c>
      <c r="BI113" s="63" t="e">
        <v>#REF!</v>
      </c>
      <c r="BJ113" s="63" t="e">
        <v>#REF!</v>
      </c>
      <c r="BK113" s="63" t="e">
        <v>#REF!</v>
      </c>
    </row>
    <row r="114" spans="2:63">
      <c r="B114" s="92" t="e">
        <v>#REF!</v>
      </c>
      <c r="C114" s="92" t="e">
        <v>#REF!</v>
      </c>
      <c r="E114" s="92" t="e">
        <v>#REF!</v>
      </c>
      <c r="F114" s="92" t="e">
        <v>#REF!</v>
      </c>
      <c r="M114" s="63" t="e">
        <v>#REF!</v>
      </c>
      <c r="N114" s="63" t="e">
        <v>#REF!</v>
      </c>
      <c r="O114" s="63" t="e">
        <v>#REF!</v>
      </c>
      <c r="P114" s="63" t="e">
        <v>#REF!</v>
      </c>
      <c r="Q114" s="63" t="e">
        <v>#REF!</v>
      </c>
      <c r="R114" s="63" t="e">
        <v>#REF!</v>
      </c>
      <c r="S114" s="63" t="e">
        <v>#REF!</v>
      </c>
      <c r="T114" s="63" t="e">
        <v>#REF!</v>
      </c>
      <c r="U114" s="63" t="e">
        <v>#REF!</v>
      </c>
      <c r="V114" s="63" t="e">
        <v>#REF!</v>
      </c>
      <c r="W114" s="63" t="e">
        <v>#REF!</v>
      </c>
      <c r="X114" s="63" t="e">
        <v>#REF!</v>
      </c>
      <c r="Y114" s="63" t="e">
        <v>#REF!</v>
      </c>
      <c r="Z114" s="63" t="e">
        <v>#REF!</v>
      </c>
      <c r="AA114" s="63" t="e">
        <v>#REF!</v>
      </c>
      <c r="AB114" s="63" t="e">
        <v>#REF!</v>
      </c>
      <c r="AC114" s="63" t="e">
        <v>#REF!</v>
      </c>
      <c r="AD114" s="63" t="e">
        <v>#REF!</v>
      </c>
      <c r="AE114" s="63" t="e">
        <v>#REF!</v>
      </c>
      <c r="AF114" s="63" t="e">
        <v>#REF!</v>
      </c>
      <c r="AH114" s="63" t="e">
        <v>#REF!</v>
      </c>
      <c r="AI114" s="63" t="e">
        <v>#REF!</v>
      </c>
      <c r="AJ114" s="63" t="e">
        <v>#REF!</v>
      </c>
      <c r="AK114" s="63" t="e">
        <v>#REF!</v>
      </c>
      <c r="AL114" s="63" t="e">
        <v>#REF!</v>
      </c>
      <c r="AM114" s="63" t="e">
        <v>#REF!</v>
      </c>
      <c r="AN114" s="63" t="e">
        <v>#REF!</v>
      </c>
      <c r="AO114" s="63" t="e">
        <v>#REF!</v>
      </c>
      <c r="AP114" s="63" t="e">
        <v>#REF!</v>
      </c>
      <c r="AQ114" s="63" t="e">
        <v>#REF!</v>
      </c>
      <c r="AR114" s="63" t="e">
        <v>#REF!</v>
      </c>
      <c r="AS114" s="63" t="e">
        <v>#REF!</v>
      </c>
      <c r="AT114" s="63" t="e">
        <v>#REF!</v>
      </c>
      <c r="AU114" s="63" t="e">
        <v>#REF!</v>
      </c>
      <c r="AV114" s="63" t="e">
        <v>#REF!</v>
      </c>
      <c r="AX114" s="63" t="e">
        <v>#REF!</v>
      </c>
      <c r="AY114" s="63" t="e">
        <v>#REF!</v>
      </c>
      <c r="AZ114" s="63" t="e">
        <v>#REF!</v>
      </c>
      <c r="BA114" s="63" t="e">
        <v>#REF!</v>
      </c>
      <c r="BB114" s="63" t="e">
        <v>#REF!</v>
      </c>
      <c r="BC114" s="63" t="e">
        <v>#REF!</v>
      </c>
      <c r="BD114" s="63" t="e">
        <v>#REF!</v>
      </c>
      <c r="BE114" s="63" t="e">
        <v>#REF!</v>
      </c>
      <c r="BF114" s="63" t="e">
        <v>#REF!</v>
      </c>
      <c r="BG114" s="63" t="e">
        <v>#REF!</v>
      </c>
      <c r="BH114" s="63" t="e">
        <v>#REF!</v>
      </c>
      <c r="BI114" s="63" t="e">
        <v>#REF!</v>
      </c>
      <c r="BJ114" s="63" t="e">
        <v>#REF!</v>
      </c>
      <c r="BK114" s="63" t="e">
        <v>#REF!</v>
      </c>
    </row>
    <row r="115" spans="2:63">
      <c r="B115" s="92" t="e">
        <v>#REF!</v>
      </c>
      <c r="C115" s="92" t="e">
        <v>#REF!</v>
      </c>
      <c r="E115" s="92" t="e">
        <v>#REF!</v>
      </c>
      <c r="F115" s="92" t="e">
        <v>#REF!</v>
      </c>
      <c r="M115" s="63" t="e">
        <v>#REF!</v>
      </c>
      <c r="N115" s="63" t="e">
        <v>#REF!</v>
      </c>
      <c r="O115" s="63" t="e">
        <v>#REF!</v>
      </c>
      <c r="P115" s="63" t="e">
        <v>#REF!</v>
      </c>
      <c r="Q115" s="63" t="e">
        <v>#REF!</v>
      </c>
      <c r="R115" s="63" t="e">
        <v>#REF!</v>
      </c>
      <c r="S115" s="63" t="e">
        <v>#REF!</v>
      </c>
      <c r="T115" s="63" t="e">
        <v>#REF!</v>
      </c>
      <c r="U115" s="63" t="e">
        <v>#REF!</v>
      </c>
      <c r="V115" s="63" t="e">
        <v>#REF!</v>
      </c>
      <c r="W115" s="63" t="e">
        <v>#REF!</v>
      </c>
      <c r="X115" s="63" t="e">
        <v>#REF!</v>
      </c>
      <c r="Y115" s="63" t="e">
        <v>#REF!</v>
      </c>
      <c r="Z115" s="63" t="e">
        <v>#REF!</v>
      </c>
      <c r="AA115" s="63" t="e">
        <v>#REF!</v>
      </c>
      <c r="AB115" s="63" t="e">
        <v>#REF!</v>
      </c>
      <c r="AC115" s="63" t="e">
        <v>#REF!</v>
      </c>
      <c r="AD115" s="63" t="e">
        <v>#REF!</v>
      </c>
      <c r="AE115" s="63" t="e">
        <v>#REF!</v>
      </c>
      <c r="AF115" s="63" t="e">
        <v>#REF!</v>
      </c>
      <c r="AH115" s="63" t="e">
        <v>#REF!</v>
      </c>
      <c r="AI115" s="63" t="e">
        <v>#REF!</v>
      </c>
      <c r="AJ115" s="63" t="e">
        <v>#REF!</v>
      </c>
      <c r="AK115" s="63" t="e">
        <v>#REF!</v>
      </c>
      <c r="AL115" s="63" t="e">
        <v>#REF!</v>
      </c>
      <c r="AM115" s="63" t="e">
        <v>#REF!</v>
      </c>
      <c r="AN115" s="63" t="e">
        <v>#REF!</v>
      </c>
      <c r="AO115" s="63" t="e">
        <v>#REF!</v>
      </c>
      <c r="AP115" s="63" t="e">
        <v>#REF!</v>
      </c>
      <c r="AQ115" s="63" t="e">
        <v>#REF!</v>
      </c>
      <c r="AR115" s="63" t="e">
        <v>#REF!</v>
      </c>
      <c r="AS115" s="63" t="e">
        <v>#REF!</v>
      </c>
      <c r="AT115" s="63" t="e">
        <v>#REF!</v>
      </c>
      <c r="AU115" s="63" t="e">
        <v>#REF!</v>
      </c>
      <c r="AV115" s="63" t="e">
        <v>#REF!</v>
      </c>
      <c r="AX115" s="63" t="e">
        <v>#REF!</v>
      </c>
      <c r="AY115" s="63" t="e">
        <v>#REF!</v>
      </c>
      <c r="AZ115" s="63" t="e">
        <v>#REF!</v>
      </c>
      <c r="BA115" s="63" t="e">
        <v>#REF!</v>
      </c>
      <c r="BB115" s="63" t="e">
        <v>#REF!</v>
      </c>
      <c r="BC115" s="63" t="e">
        <v>#REF!</v>
      </c>
      <c r="BD115" s="63" t="e">
        <v>#REF!</v>
      </c>
      <c r="BE115" s="63" t="e">
        <v>#REF!</v>
      </c>
      <c r="BF115" s="63" t="e">
        <v>#REF!</v>
      </c>
      <c r="BG115" s="63" t="e">
        <v>#REF!</v>
      </c>
      <c r="BH115" s="63" t="e">
        <v>#REF!</v>
      </c>
      <c r="BI115" s="63" t="e">
        <v>#REF!</v>
      </c>
      <c r="BJ115" s="63" t="e">
        <v>#REF!</v>
      </c>
      <c r="BK115" s="63" t="e">
        <v>#REF!</v>
      </c>
    </row>
    <row r="116" spans="2:63">
      <c r="B116" s="92" t="e">
        <v>#REF!</v>
      </c>
      <c r="C116" s="92" t="e">
        <v>#REF!</v>
      </c>
      <c r="E116" s="92" t="e">
        <v>#REF!</v>
      </c>
      <c r="F116" s="92" t="e">
        <v>#REF!</v>
      </c>
      <c r="M116" s="63" t="e">
        <v>#REF!</v>
      </c>
      <c r="N116" s="63" t="e">
        <v>#REF!</v>
      </c>
      <c r="O116" s="63" t="e">
        <v>#REF!</v>
      </c>
      <c r="P116" s="63" t="e">
        <v>#REF!</v>
      </c>
      <c r="Q116" s="63" t="e">
        <v>#REF!</v>
      </c>
      <c r="R116" s="63" t="e">
        <v>#REF!</v>
      </c>
      <c r="S116" s="63" t="e">
        <v>#REF!</v>
      </c>
      <c r="T116" s="63" t="e">
        <v>#REF!</v>
      </c>
      <c r="U116" s="63" t="e">
        <v>#REF!</v>
      </c>
      <c r="V116" s="63" t="e">
        <v>#REF!</v>
      </c>
      <c r="W116" s="63" t="e">
        <v>#REF!</v>
      </c>
      <c r="X116" s="63" t="e">
        <v>#REF!</v>
      </c>
      <c r="Y116" s="63" t="e">
        <v>#REF!</v>
      </c>
      <c r="Z116" s="63" t="e">
        <v>#REF!</v>
      </c>
      <c r="AA116" s="63" t="e">
        <v>#REF!</v>
      </c>
      <c r="AB116" s="63" t="e">
        <v>#REF!</v>
      </c>
      <c r="AC116" s="63" t="e">
        <v>#REF!</v>
      </c>
      <c r="AD116" s="63" t="e">
        <v>#REF!</v>
      </c>
      <c r="AE116" s="63" t="e">
        <v>#REF!</v>
      </c>
      <c r="AF116" s="63" t="e">
        <v>#REF!</v>
      </c>
      <c r="AH116" s="63" t="e">
        <v>#REF!</v>
      </c>
      <c r="AI116" s="63" t="e">
        <v>#REF!</v>
      </c>
      <c r="AJ116" s="63" t="e">
        <v>#REF!</v>
      </c>
      <c r="AK116" s="63" t="e">
        <v>#REF!</v>
      </c>
      <c r="AL116" s="63" t="e">
        <v>#REF!</v>
      </c>
      <c r="AM116" s="63" t="e">
        <v>#REF!</v>
      </c>
      <c r="AN116" s="63" t="e">
        <v>#REF!</v>
      </c>
      <c r="AO116" s="63" t="e">
        <v>#REF!</v>
      </c>
      <c r="AP116" s="63" t="e">
        <v>#REF!</v>
      </c>
      <c r="AQ116" s="63" t="e">
        <v>#REF!</v>
      </c>
      <c r="AR116" s="63" t="e">
        <v>#REF!</v>
      </c>
      <c r="AS116" s="63" t="e">
        <v>#REF!</v>
      </c>
      <c r="AT116" s="63" t="e">
        <v>#REF!</v>
      </c>
      <c r="AU116" s="63" t="e">
        <v>#REF!</v>
      </c>
      <c r="AV116" s="63" t="e">
        <v>#REF!</v>
      </c>
      <c r="AX116" s="63" t="e">
        <v>#REF!</v>
      </c>
      <c r="AY116" s="63" t="e">
        <v>#REF!</v>
      </c>
      <c r="AZ116" s="63" t="e">
        <v>#REF!</v>
      </c>
      <c r="BA116" s="63" t="e">
        <v>#REF!</v>
      </c>
      <c r="BB116" s="63" t="e">
        <v>#REF!</v>
      </c>
      <c r="BC116" s="63" t="e">
        <v>#REF!</v>
      </c>
      <c r="BD116" s="63" t="e">
        <v>#REF!</v>
      </c>
      <c r="BE116" s="63" t="e">
        <v>#REF!</v>
      </c>
      <c r="BF116" s="63" t="e">
        <v>#REF!</v>
      </c>
      <c r="BG116" s="63" t="e">
        <v>#REF!</v>
      </c>
      <c r="BH116" s="63" t="e">
        <v>#REF!</v>
      </c>
      <c r="BI116" s="63" t="e">
        <v>#REF!</v>
      </c>
      <c r="BJ116" s="63" t="e">
        <v>#REF!</v>
      </c>
      <c r="BK116" s="63" t="e">
        <v>#REF!</v>
      </c>
    </row>
    <row r="117" spans="2:63">
      <c r="B117" s="92" t="e">
        <v>#REF!</v>
      </c>
      <c r="C117" s="92" t="e">
        <v>#REF!</v>
      </c>
      <c r="E117" s="92" t="e">
        <v>#REF!</v>
      </c>
      <c r="F117" s="92" t="e">
        <v>#REF!</v>
      </c>
      <c r="M117" s="63" t="e">
        <v>#REF!</v>
      </c>
      <c r="N117" s="63" t="e">
        <v>#REF!</v>
      </c>
      <c r="O117" s="63" t="e">
        <v>#REF!</v>
      </c>
      <c r="P117" s="63" t="e">
        <v>#REF!</v>
      </c>
      <c r="Q117" s="63" t="e">
        <v>#REF!</v>
      </c>
      <c r="R117" s="63" t="e">
        <v>#REF!</v>
      </c>
      <c r="S117" s="63" t="e">
        <v>#REF!</v>
      </c>
      <c r="T117" s="63" t="e">
        <v>#REF!</v>
      </c>
      <c r="U117" s="63" t="e">
        <v>#REF!</v>
      </c>
      <c r="V117" s="63" t="e">
        <v>#REF!</v>
      </c>
      <c r="W117" s="63" t="e">
        <v>#REF!</v>
      </c>
      <c r="X117" s="63" t="e">
        <v>#REF!</v>
      </c>
      <c r="Y117" s="63" t="e">
        <v>#REF!</v>
      </c>
      <c r="Z117" s="63" t="e">
        <v>#REF!</v>
      </c>
      <c r="AA117" s="63" t="e">
        <v>#REF!</v>
      </c>
      <c r="AB117" s="63" t="e">
        <v>#REF!</v>
      </c>
      <c r="AC117" s="63" t="e">
        <v>#REF!</v>
      </c>
      <c r="AD117" s="63" t="e">
        <v>#REF!</v>
      </c>
      <c r="AE117" s="63" t="e">
        <v>#REF!</v>
      </c>
      <c r="AF117" s="63" t="e">
        <v>#REF!</v>
      </c>
      <c r="AH117" s="63" t="e">
        <v>#REF!</v>
      </c>
      <c r="AI117" s="63" t="e">
        <v>#REF!</v>
      </c>
      <c r="AJ117" s="63" t="e">
        <v>#REF!</v>
      </c>
      <c r="AK117" s="63" t="e">
        <v>#REF!</v>
      </c>
      <c r="AL117" s="63" t="e">
        <v>#REF!</v>
      </c>
      <c r="AM117" s="63" t="e">
        <v>#REF!</v>
      </c>
      <c r="AN117" s="63" t="e">
        <v>#REF!</v>
      </c>
      <c r="AO117" s="63" t="e">
        <v>#REF!</v>
      </c>
      <c r="AP117" s="63" t="e">
        <v>#REF!</v>
      </c>
      <c r="AQ117" s="63" t="e">
        <v>#REF!</v>
      </c>
      <c r="AR117" s="63" t="e">
        <v>#REF!</v>
      </c>
      <c r="AS117" s="63" t="e">
        <v>#REF!</v>
      </c>
      <c r="AT117" s="63" t="e">
        <v>#REF!</v>
      </c>
      <c r="AU117" s="63" t="e">
        <v>#REF!</v>
      </c>
      <c r="AV117" s="63" t="e">
        <v>#REF!</v>
      </c>
      <c r="AX117" s="63" t="e">
        <v>#REF!</v>
      </c>
      <c r="AY117" s="63" t="e">
        <v>#REF!</v>
      </c>
      <c r="AZ117" s="63" t="e">
        <v>#REF!</v>
      </c>
      <c r="BA117" s="63" t="e">
        <v>#REF!</v>
      </c>
      <c r="BB117" s="63" t="e">
        <v>#REF!</v>
      </c>
      <c r="BC117" s="63" t="e">
        <v>#REF!</v>
      </c>
      <c r="BD117" s="63" t="e">
        <v>#REF!</v>
      </c>
      <c r="BE117" s="63" t="e">
        <v>#REF!</v>
      </c>
      <c r="BF117" s="63" t="e">
        <v>#REF!</v>
      </c>
      <c r="BG117" s="63" t="e">
        <v>#REF!</v>
      </c>
      <c r="BH117" s="63" t="e">
        <v>#REF!</v>
      </c>
      <c r="BI117" s="63" t="e">
        <v>#REF!</v>
      </c>
      <c r="BJ117" s="63" t="e">
        <v>#REF!</v>
      </c>
      <c r="BK117" s="63" t="e">
        <v>#REF!</v>
      </c>
    </row>
    <row r="118" spans="2:63">
      <c r="B118" s="92" t="e">
        <v>#REF!</v>
      </c>
      <c r="C118" s="92" t="e">
        <v>#REF!</v>
      </c>
      <c r="E118" s="92" t="e">
        <v>#REF!</v>
      </c>
      <c r="F118" s="92" t="e">
        <v>#REF!</v>
      </c>
      <c r="M118" s="63" t="e">
        <v>#REF!</v>
      </c>
      <c r="N118" s="63" t="e">
        <v>#REF!</v>
      </c>
      <c r="O118" s="63" t="e">
        <v>#REF!</v>
      </c>
      <c r="P118" s="63" t="e">
        <v>#REF!</v>
      </c>
      <c r="Q118" s="63" t="e">
        <v>#REF!</v>
      </c>
      <c r="R118" s="63" t="e">
        <v>#REF!</v>
      </c>
      <c r="S118" s="63" t="e">
        <v>#REF!</v>
      </c>
      <c r="T118" s="63" t="e">
        <v>#REF!</v>
      </c>
      <c r="U118" s="63" t="e">
        <v>#REF!</v>
      </c>
      <c r="V118" s="63" t="e">
        <v>#REF!</v>
      </c>
      <c r="W118" s="63" t="e">
        <v>#REF!</v>
      </c>
      <c r="X118" s="63" t="e">
        <v>#REF!</v>
      </c>
      <c r="Y118" s="63" t="e">
        <v>#REF!</v>
      </c>
      <c r="Z118" s="63" t="e">
        <v>#REF!</v>
      </c>
      <c r="AA118" s="63" t="e">
        <v>#REF!</v>
      </c>
      <c r="AB118" s="63" t="e">
        <v>#REF!</v>
      </c>
      <c r="AC118" s="63" t="e">
        <v>#REF!</v>
      </c>
      <c r="AD118" s="63" t="e">
        <v>#REF!</v>
      </c>
      <c r="AE118" s="63" t="e">
        <v>#REF!</v>
      </c>
      <c r="AF118" s="63" t="e">
        <v>#REF!</v>
      </c>
      <c r="AH118" s="63" t="e">
        <v>#REF!</v>
      </c>
      <c r="AI118" s="63" t="e">
        <v>#REF!</v>
      </c>
      <c r="AJ118" s="63" t="e">
        <v>#REF!</v>
      </c>
      <c r="AK118" s="63" t="e">
        <v>#REF!</v>
      </c>
      <c r="AL118" s="63" t="e">
        <v>#REF!</v>
      </c>
      <c r="AM118" s="63" t="e">
        <v>#REF!</v>
      </c>
      <c r="AN118" s="63" t="e">
        <v>#REF!</v>
      </c>
      <c r="AO118" s="63" t="e">
        <v>#REF!</v>
      </c>
      <c r="AP118" s="63" t="e">
        <v>#REF!</v>
      </c>
      <c r="AQ118" s="63" t="e">
        <v>#REF!</v>
      </c>
      <c r="AR118" s="63" t="e">
        <v>#REF!</v>
      </c>
      <c r="AS118" s="63" t="e">
        <v>#REF!</v>
      </c>
      <c r="AT118" s="63" t="e">
        <v>#REF!</v>
      </c>
      <c r="AU118" s="63" t="e">
        <v>#REF!</v>
      </c>
      <c r="AV118" s="63" t="e">
        <v>#REF!</v>
      </c>
      <c r="AX118" s="63" t="e">
        <v>#REF!</v>
      </c>
      <c r="AY118" s="63" t="e">
        <v>#REF!</v>
      </c>
      <c r="AZ118" s="63" t="e">
        <v>#REF!</v>
      </c>
      <c r="BA118" s="63" t="e">
        <v>#REF!</v>
      </c>
      <c r="BB118" s="63" t="e">
        <v>#REF!</v>
      </c>
      <c r="BC118" s="63" t="e">
        <v>#REF!</v>
      </c>
      <c r="BD118" s="63" t="e">
        <v>#REF!</v>
      </c>
      <c r="BE118" s="63" t="e">
        <v>#REF!</v>
      </c>
      <c r="BF118" s="63" t="e">
        <v>#REF!</v>
      </c>
      <c r="BG118" s="63" t="e">
        <v>#REF!</v>
      </c>
      <c r="BH118" s="63" t="e">
        <v>#REF!</v>
      </c>
      <c r="BI118" s="63" t="e">
        <v>#REF!</v>
      </c>
      <c r="BJ118" s="63" t="e">
        <v>#REF!</v>
      </c>
      <c r="BK118" s="63" t="e">
        <v>#REF!</v>
      </c>
    </row>
    <row r="119" spans="2:63">
      <c r="B119" s="92"/>
      <c r="C119" s="92"/>
      <c r="E119" s="92"/>
      <c r="F119" s="92"/>
      <c r="M119" s="63"/>
      <c r="N119" s="63"/>
      <c r="O119" s="63"/>
      <c r="P119" s="63"/>
      <c r="Q119" s="63"/>
      <c r="R119" s="63"/>
      <c r="S119" s="63"/>
      <c r="T119" s="63"/>
      <c r="U119" s="63"/>
      <c r="V119" s="63"/>
      <c r="W119" s="63"/>
      <c r="X119" s="63"/>
      <c r="Y119" s="63"/>
      <c r="Z119" s="63"/>
      <c r="AA119" s="63"/>
      <c r="AB119" s="63"/>
      <c r="AC119" s="63"/>
      <c r="AD119" s="63"/>
      <c r="AE119" s="63"/>
      <c r="AF119" s="63"/>
      <c r="AH119" s="63"/>
      <c r="AI119" s="63"/>
      <c r="AJ119" s="63"/>
      <c r="AK119" s="63"/>
      <c r="AL119" s="63"/>
      <c r="AM119" s="63"/>
      <c r="AN119" s="63"/>
      <c r="AO119" s="63"/>
      <c r="AP119" s="63"/>
      <c r="AQ119" s="63"/>
      <c r="AR119" s="63"/>
      <c r="AS119" s="63"/>
      <c r="AT119" s="63"/>
      <c r="AU119" s="63"/>
      <c r="AV119" s="63"/>
      <c r="AX119" s="63"/>
      <c r="AY119" s="63"/>
      <c r="AZ119" s="63"/>
      <c r="BA119" s="63"/>
      <c r="BB119" s="63"/>
      <c r="BC119" s="63"/>
      <c r="BD119" s="63"/>
      <c r="BE119" s="63"/>
      <c r="BF119" s="63"/>
      <c r="BG119" s="63"/>
      <c r="BH119" s="63"/>
      <c r="BI119" s="63"/>
      <c r="BJ119" s="63"/>
      <c r="BK119" s="63"/>
    </row>
    <row r="120" spans="2:63">
      <c r="B120" s="92" t="e">
        <v>#REF!</v>
      </c>
      <c r="C120" s="92" t="e">
        <v>#REF!</v>
      </c>
      <c r="E120" s="92" t="e">
        <v>#REF!</v>
      </c>
      <c r="F120" s="92" t="e">
        <v>#REF!</v>
      </c>
      <c r="M120" s="63" t="e">
        <v>#REF!</v>
      </c>
      <c r="N120" s="63" t="e">
        <v>#REF!</v>
      </c>
      <c r="O120" s="63" t="e">
        <v>#REF!</v>
      </c>
      <c r="P120" s="63" t="e">
        <v>#REF!</v>
      </c>
      <c r="Q120" s="63" t="e">
        <v>#REF!</v>
      </c>
      <c r="R120" s="63" t="e">
        <v>#REF!</v>
      </c>
      <c r="S120" s="63" t="e">
        <v>#REF!</v>
      </c>
      <c r="T120" s="63" t="e">
        <v>#REF!</v>
      </c>
      <c r="U120" s="63" t="e">
        <v>#REF!</v>
      </c>
      <c r="V120" s="63" t="e">
        <v>#REF!</v>
      </c>
      <c r="W120" s="63" t="e">
        <v>#REF!</v>
      </c>
      <c r="X120" s="63" t="e">
        <v>#REF!</v>
      </c>
      <c r="Y120" s="63" t="e">
        <v>#REF!</v>
      </c>
      <c r="Z120" s="63" t="e">
        <v>#REF!</v>
      </c>
      <c r="AA120" s="63" t="e">
        <v>#REF!</v>
      </c>
      <c r="AB120" s="63" t="e">
        <v>#REF!</v>
      </c>
      <c r="AC120" s="63" t="e">
        <v>#REF!</v>
      </c>
      <c r="AD120" s="63" t="e">
        <v>#REF!</v>
      </c>
      <c r="AE120" s="63" t="e">
        <v>#REF!</v>
      </c>
      <c r="AF120" s="63" t="e">
        <v>#REF!</v>
      </c>
      <c r="AH120" s="63" t="e">
        <v>#REF!</v>
      </c>
      <c r="AI120" s="63" t="e">
        <v>#REF!</v>
      </c>
      <c r="AJ120" s="63" t="e">
        <v>#REF!</v>
      </c>
      <c r="AK120" s="63" t="e">
        <v>#REF!</v>
      </c>
      <c r="AL120" s="63" t="e">
        <v>#REF!</v>
      </c>
      <c r="AM120" s="63" t="e">
        <v>#REF!</v>
      </c>
      <c r="AN120" s="63" t="e">
        <v>#REF!</v>
      </c>
      <c r="AO120" s="63" t="e">
        <v>#REF!</v>
      </c>
      <c r="AP120" s="63" t="e">
        <v>#REF!</v>
      </c>
      <c r="AQ120" s="63" t="e">
        <v>#REF!</v>
      </c>
      <c r="AR120" s="63" t="e">
        <v>#REF!</v>
      </c>
      <c r="AS120" s="63" t="e">
        <v>#REF!</v>
      </c>
      <c r="AT120" s="63" t="e">
        <v>#REF!</v>
      </c>
      <c r="AU120" s="63" t="e">
        <v>#REF!</v>
      </c>
      <c r="AV120" s="63" t="e">
        <v>#REF!</v>
      </c>
      <c r="AX120" s="63" t="e">
        <v>#REF!</v>
      </c>
      <c r="AY120" s="63" t="e">
        <v>#REF!</v>
      </c>
      <c r="AZ120" s="63" t="e">
        <v>#REF!</v>
      </c>
      <c r="BA120" s="63" t="e">
        <v>#REF!</v>
      </c>
      <c r="BB120" s="63" t="e">
        <v>#REF!</v>
      </c>
      <c r="BC120" s="63" t="e">
        <v>#REF!</v>
      </c>
      <c r="BD120" s="63" t="e">
        <v>#REF!</v>
      </c>
      <c r="BE120" s="63" t="e">
        <v>#REF!</v>
      </c>
      <c r="BF120" s="63" t="e">
        <v>#REF!</v>
      </c>
      <c r="BG120" s="63" t="e">
        <v>#REF!</v>
      </c>
      <c r="BH120" s="63" t="e">
        <v>#REF!</v>
      </c>
      <c r="BI120" s="63" t="e">
        <v>#REF!</v>
      </c>
      <c r="BJ120" s="63" t="e">
        <v>#REF!</v>
      </c>
      <c r="BK120" s="63" t="e">
        <v>#REF!</v>
      </c>
    </row>
    <row r="121" spans="2:63">
      <c r="B121" s="92" t="e">
        <v>#REF!</v>
      </c>
      <c r="C121" s="92" t="e">
        <v>#REF!</v>
      </c>
      <c r="E121" s="92" t="e">
        <v>#REF!</v>
      </c>
      <c r="F121" s="92" t="e">
        <v>#REF!</v>
      </c>
      <c r="M121" s="63" t="e">
        <v>#REF!</v>
      </c>
      <c r="N121" s="63" t="e">
        <v>#REF!</v>
      </c>
      <c r="O121" s="63" t="e">
        <v>#REF!</v>
      </c>
      <c r="P121" s="63" t="e">
        <v>#REF!</v>
      </c>
      <c r="Q121" s="63" t="e">
        <v>#REF!</v>
      </c>
      <c r="R121" s="63" t="e">
        <v>#REF!</v>
      </c>
      <c r="S121" s="63" t="e">
        <v>#REF!</v>
      </c>
      <c r="T121" s="63" t="e">
        <v>#REF!</v>
      </c>
      <c r="U121" s="63" t="e">
        <v>#REF!</v>
      </c>
      <c r="V121" s="63" t="e">
        <v>#REF!</v>
      </c>
      <c r="W121" s="63" t="e">
        <v>#REF!</v>
      </c>
      <c r="X121" s="63" t="e">
        <v>#REF!</v>
      </c>
      <c r="Y121" s="63" t="e">
        <v>#REF!</v>
      </c>
      <c r="Z121" s="63" t="e">
        <v>#REF!</v>
      </c>
      <c r="AA121" s="63" t="e">
        <v>#REF!</v>
      </c>
      <c r="AB121" s="63" t="e">
        <v>#REF!</v>
      </c>
      <c r="AC121" s="63" t="e">
        <v>#REF!</v>
      </c>
      <c r="AD121" s="63" t="e">
        <v>#REF!</v>
      </c>
      <c r="AE121" s="63" t="e">
        <v>#REF!</v>
      </c>
      <c r="AF121" s="63" t="e">
        <v>#REF!</v>
      </c>
      <c r="AH121" s="63" t="e">
        <v>#REF!</v>
      </c>
      <c r="AI121" s="63" t="e">
        <v>#REF!</v>
      </c>
      <c r="AJ121" s="63" t="e">
        <v>#REF!</v>
      </c>
      <c r="AK121" s="63" t="e">
        <v>#REF!</v>
      </c>
      <c r="AL121" s="63" t="e">
        <v>#REF!</v>
      </c>
      <c r="AM121" s="63" t="e">
        <v>#REF!</v>
      </c>
      <c r="AN121" s="63" t="e">
        <v>#REF!</v>
      </c>
      <c r="AO121" s="63" t="e">
        <v>#REF!</v>
      </c>
      <c r="AP121" s="63" t="e">
        <v>#REF!</v>
      </c>
      <c r="AQ121" s="63" t="e">
        <v>#REF!</v>
      </c>
      <c r="AR121" s="63" t="e">
        <v>#REF!</v>
      </c>
      <c r="AS121" s="63" t="e">
        <v>#REF!</v>
      </c>
      <c r="AT121" s="63" t="e">
        <v>#REF!</v>
      </c>
      <c r="AU121" s="63" t="e">
        <v>#REF!</v>
      </c>
      <c r="AV121" s="63" t="e">
        <v>#REF!</v>
      </c>
      <c r="AX121" s="63" t="e">
        <v>#REF!</v>
      </c>
      <c r="AY121" s="63" t="e">
        <v>#REF!</v>
      </c>
      <c r="AZ121" s="63" t="e">
        <v>#REF!</v>
      </c>
      <c r="BA121" s="63" t="e">
        <v>#REF!</v>
      </c>
      <c r="BB121" s="63" t="e">
        <v>#REF!</v>
      </c>
      <c r="BC121" s="63" t="e">
        <v>#REF!</v>
      </c>
      <c r="BD121" s="63" t="e">
        <v>#REF!</v>
      </c>
      <c r="BE121" s="63" t="e">
        <v>#REF!</v>
      </c>
      <c r="BF121" s="63" t="e">
        <v>#REF!</v>
      </c>
      <c r="BG121" s="63" t="e">
        <v>#REF!</v>
      </c>
      <c r="BH121" s="63" t="e">
        <v>#REF!</v>
      </c>
      <c r="BI121" s="63" t="e">
        <v>#REF!</v>
      </c>
      <c r="BJ121" s="63" t="e">
        <v>#REF!</v>
      </c>
      <c r="BK121" s="63" t="e">
        <v>#REF!</v>
      </c>
    </row>
    <row r="122" spans="2:63">
      <c r="B122" s="92" t="e">
        <v>#REF!</v>
      </c>
      <c r="C122" s="92" t="e">
        <v>#REF!</v>
      </c>
      <c r="E122" s="92" t="e">
        <v>#REF!</v>
      </c>
      <c r="F122" s="92" t="e">
        <v>#REF!</v>
      </c>
      <c r="M122" s="63" t="e">
        <v>#REF!</v>
      </c>
      <c r="N122" s="63" t="e">
        <v>#REF!</v>
      </c>
      <c r="O122" s="63" t="e">
        <v>#REF!</v>
      </c>
      <c r="P122" s="63" t="e">
        <v>#REF!</v>
      </c>
      <c r="Q122" s="63" t="e">
        <v>#REF!</v>
      </c>
      <c r="R122" s="63" t="e">
        <v>#REF!</v>
      </c>
      <c r="S122" s="63" t="e">
        <v>#REF!</v>
      </c>
      <c r="T122" s="63" t="e">
        <v>#REF!</v>
      </c>
      <c r="U122" s="63" t="e">
        <v>#REF!</v>
      </c>
      <c r="V122" s="63" t="e">
        <v>#REF!</v>
      </c>
      <c r="W122" s="63" t="e">
        <v>#REF!</v>
      </c>
      <c r="X122" s="63" t="e">
        <v>#REF!</v>
      </c>
      <c r="Y122" s="63" t="e">
        <v>#REF!</v>
      </c>
      <c r="Z122" s="63" t="e">
        <v>#REF!</v>
      </c>
      <c r="AA122" s="63" t="e">
        <v>#REF!</v>
      </c>
      <c r="AB122" s="63" t="e">
        <v>#REF!</v>
      </c>
      <c r="AC122" s="63" t="e">
        <v>#REF!</v>
      </c>
      <c r="AD122" s="63" t="e">
        <v>#REF!</v>
      </c>
      <c r="AE122" s="63" t="e">
        <v>#REF!</v>
      </c>
      <c r="AF122" s="63" t="e">
        <v>#REF!</v>
      </c>
      <c r="AH122" s="63" t="e">
        <v>#REF!</v>
      </c>
      <c r="AI122" s="63" t="e">
        <v>#REF!</v>
      </c>
      <c r="AJ122" s="63" t="e">
        <v>#REF!</v>
      </c>
      <c r="AK122" s="63" t="e">
        <v>#REF!</v>
      </c>
      <c r="AL122" s="63" t="e">
        <v>#REF!</v>
      </c>
      <c r="AM122" s="63" t="e">
        <v>#REF!</v>
      </c>
      <c r="AN122" s="63" t="e">
        <v>#REF!</v>
      </c>
      <c r="AO122" s="63" t="e">
        <v>#REF!</v>
      </c>
      <c r="AP122" s="63" t="e">
        <v>#REF!</v>
      </c>
      <c r="AQ122" s="63" t="e">
        <v>#REF!</v>
      </c>
      <c r="AR122" s="63" t="e">
        <v>#REF!</v>
      </c>
      <c r="AS122" s="63" t="e">
        <v>#REF!</v>
      </c>
      <c r="AT122" s="63" t="e">
        <v>#REF!</v>
      </c>
      <c r="AU122" s="63" t="e">
        <v>#REF!</v>
      </c>
      <c r="AV122" s="63" t="e">
        <v>#REF!</v>
      </c>
      <c r="AX122" s="63" t="e">
        <v>#REF!</v>
      </c>
      <c r="AY122" s="63" t="e">
        <v>#REF!</v>
      </c>
      <c r="AZ122" s="63" t="e">
        <v>#REF!</v>
      </c>
      <c r="BA122" s="63" t="e">
        <v>#REF!</v>
      </c>
      <c r="BB122" s="63" t="e">
        <v>#REF!</v>
      </c>
      <c r="BC122" s="63" t="e">
        <v>#REF!</v>
      </c>
      <c r="BD122" s="63" t="e">
        <v>#REF!</v>
      </c>
      <c r="BE122" s="63" t="e">
        <v>#REF!</v>
      </c>
      <c r="BF122" s="63" t="e">
        <v>#REF!</v>
      </c>
      <c r="BG122" s="63" t="e">
        <v>#REF!</v>
      </c>
      <c r="BH122" s="63" t="e">
        <v>#REF!</v>
      </c>
      <c r="BI122" s="63" t="e">
        <v>#REF!</v>
      </c>
      <c r="BJ122" s="63" t="e">
        <v>#REF!</v>
      </c>
      <c r="BK122" s="63" t="e">
        <v>#REF!</v>
      </c>
    </row>
    <row r="123" spans="2:63">
      <c r="B123" s="92" t="e">
        <v>#REF!</v>
      </c>
      <c r="C123" s="92" t="e">
        <v>#REF!</v>
      </c>
      <c r="E123" s="92" t="e">
        <v>#REF!</v>
      </c>
      <c r="F123" s="92" t="e">
        <v>#REF!</v>
      </c>
      <c r="M123" s="63" t="e">
        <v>#REF!</v>
      </c>
      <c r="N123" s="63" t="e">
        <v>#REF!</v>
      </c>
      <c r="O123" s="63" t="e">
        <v>#REF!</v>
      </c>
      <c r="P123" s="63" t="e">
        <v>#REF!</v>
      </c>
      <c r="Q123" s="63" t="e">
        <v>#REF!</v>
      </c>
      <c r="R123" s="63" t="e">
        <v>#REF!</v>
      </c>
      <c r="S123" s="63" t="e">
        <v>#REF!</v>
      </c>
      <c r="T123" s="63" t="e">
        <v>#REF!</v>
      </c>
      <c r="U123" s="63" t="e">
        <v>#REF!</v>
      </c>
      <c r="V123" s="63" t="e">
        <v>#REF!</v>
      </c>
      <c r="W123" s="63" t="e">
        <v>#REF!</v>
      </c>
      <c r="X123" s="63" t="e">
        <v>#REF!</v>
      </c>
      <c r="Y123" s="63" t="e">
        <v>#REF!</v>
      </c>
      <c r="Z123" s="63" t="e">
        <v>#REF!</v>
      </c>
      <c r="AA123" s="63" t="e">
        <v>#REF!</v>
      </c>
      <c r="AB123" s="63" t="e">
        <v>#REF!</v>
      </c>
      <c r="AC123" s="63" t="e">
        <v>#REF!</v>
      </c>
      <c r="AD123" s="63" t="e">
        <v>#REF!</v>
      </c>
      <c r="AE123" s="63" t="e">
        <v>#REF!</v>
      </c>
      <c r="AF123" s="63" t="e">
        <v>#REF!</v>
      </c>
      <c r="AH123" s="63" t="e">
        <v>#REF!</v>
      </c>
      <c r="AI123" s="63" t="e">
        <v>#REF!</v>
      </c>
      <c r="AJ123" s="63" t="e">
        <v>#REF!</v>
      </c>
      <c r="AK123" s="63" t="e">
        <v>#REF!</v>
      </c>
      <c r="AL123" s="63" t="e">
        <v>#REF!</v>
      </c>
      <c r="AM123" s="63" t="e">
        <v>#REF!</v>
      </c>
      <c r="AN123" s="63" t="e">
        <v>#REF!</v>
      </c>
      <c r="AO123" s="63" t="e">
        <v>#REF!</v>
      </c>
      <c r="AP123" s="63" t="e">
        <v>#REF!</v>
      </c>
      <c r="AQ123" s="63" t="e">
        <v>#REF!</v>
      </c>
      <c r="AR123" s="63" t="e">
        <v>#REF!</v>
      </c>
      <c r="AS123" s="63" t="e">
        <v>#REF!</v>
      </c>
      <c r="AT123" s="63" t="e">
        <v>#REF!</v>
      </c>
      <c r="AU123" s="63" t="e">
        <v>#REF!</v>
      </c>
      <c r="AV123" s="63" t="e">
        <v>#REF!</v>
      </c>
      <c r="AX123" s="63" t="e">
        <v>#REF!</v>
      </c>
      <c r="AY123" s="63" t="e">
        <v>#REF!</v>
      </c>
      <c r="AZ123" s="63" t="e">
        <v>#REF!</v>
      </c>
      <c r="BA123" s="63" t="e">
        <v>#REF!</v>
      </c>
      <c r="BB123" s="63" t="e">
        <v>#REF!</v>
      </c>
      <c r="BC123" s="63" t="e">
        <v>#REF!</v>
      </c>
      <c r="BD123" s="63" t="e">
        <v>#REF!</v>
      </c>
      <c r="BE123" s="63" t="e">
        <v>#REF!</v>
      </c>
      <c r="BF123" s="63" t="e">
        <v>#REF!</v>
      </c>
      <c r="BG123" s="63" t="e">
        <v>#REF!</v>
      </c>
      <c r="BH123" s="63" t="e">
        <v>#REF!</v>
      </c>
      <c r="BI123" s="63" t="e">
        <v>#REF!</v>
      </c>
      <c r="BJ123" s="63" t="e">
        <v>#REF!</v>
      </c>
      <c r="BK123" s="63" t="e">
        <v>#REF!</v>
      </c>
    </row>
    <row r="124" spans="2:63">
      <c r="B124" s="92" t="e">
        <v>#REF!</v>
      </c>
      <c r="C124" s="92" t="e">
        <v>#REF!</v>
      </c>
      <c r="E124" s="92" t="e">
        <v>#REF!</v>
      </c>
      <c r="F124" s="92" t="e">
        <v>#REF!</v>
      </c>
      <c r="M124" s="63" t="e">
        <v>#REF!</v>
      </c>
      <c r="N124" s="63" t="e">
        <v>#REF!</v>
      </c>
      <c r="O124" s="63" t="e">
        <v>#REF!</v>
      </c>
      <c r="P124" s="63" t="e">
        <v>#REF!</v>
      </c>
      <c r="Q124" s="63" t="e">
        <v>#REF!</v>
      </c>
      <c r="R124" s="63" t="e">
        <v>#REF!</v>
      </c>
      <c r="S124" s="63" t="e">
        <v>#REF!</v>
      </c>
      <c r="T124" s="63" t="e">
        <v>#REF!</v>
      </c>
      <c r="U124" s="63" t="e">
        <v>#REF!</v>
      </c>
      <c r="V124" s="63" t="e">
        <v>#REF!</v>
      </c>
      <c r="W124" s="63" t="e">
        <v>#REF!</v>
      </c>
      <c r="X124" s="63" t="e">
        <v>#REF!</v>
      </c>
      <c r="Y124" s="63" t="e">
        <v>#REF!</v>
      </c>
      <c r="Z124" s="63" t="e">
        <v>#REF!</v>
      </c>
      <c r="AA124" s="63" t="e">
        <v>#REF!</v>
      </c>
      <c r="AB124" s="63" t="e">
        <v>#REF!</v>
      </c>
      <c r="AC124" s="63" t="e">
        <v>#REF!</v>
      </c>
      <c r="AD124" s="63" t="e">
        <v>#REF!</v>
      </c>
      <c r="AE124" s="63" t="e">
        <v>#REF!</v>
      </c>
      <c r="AF124" s="63" t="e">
        <v>#REF!</v>
      </c>
      <c r="AH124" s="63" t="e">
        <v>#REF!</v>
      </c>
      <c r="AI124" s="63" t="e">
        <v>#REF!</v>
      </c>
      <c r="AJ124" s="63" t="e">
        <v>#REF!</v>
      </c>
      <c r="AK124" s="63" t="e">
        <v>#REF!</v>
      </c>
      <c r="AL124" s="63" t="e">
        <v>#REF!</v>
      </c>
      <c r="AM124" s="63" t="e">
        <v>#REF!</v>
      </c>
      <c r="AN124" s="63" t="e">
        <v>#REF!</v>
      </c>
      <c r="AO124" s="63" t="e">
        <v>#REF!</v>
      </c>
      <c r="AP124" s="63" t="e">
        <v>#REF!</v>
      </c>
      <c r="AQ124" s="63" t="e">
        <v>#REF!</v>
      </c>
      <c r="AR124" s="63" t="e">
        <v>#REF!</v>
      </c>
      <c r="AS124" s="63" t="e">
        <v>#REF!</v>
      </c>
      <c r="AT124" s="63" t="e">
        <v>#REF!</v>
      </c>
      <c r="AU124" s="63" t="e">
        <v>#REF!</v>
      </c>
      <c r="AV124" s="63" t="e">
        <v>#REF!</v>
      </c>
      <c r="AX124" s="63" t="e">
        <v>#REF!</v>
      </c>
      <c r="AY124" s="63" t="e">
        <v>#REF!</v>
      </c>
      <c r="AZ124" s="63" t="e">
        <v>#REF!</v>
      </c>
      <c r="BA124" s="63" t="e">
        <v>#REF!</v>
      </c>
      <c r="BB124" s="63" t="e">
        <v>#REF!</v>
      </c>
      <c r="BC124" s="63" t="e">
        <v>#REF!</v>
      </c>
      <c r="BD124" s="63" t="e">
        <v>#REF!</v>
      </c>
      <c r="BE124" s="63" t="e">
        <v>#REF!</v>
      </c>
      <c r="BF124" s="63" t="e">
        <v>#REF!</v>
      </c>
      <c r="BG124" s="63" t="e">
        <v>#REF!</v>
      </c>
      <c r="BH124" s="63" t="e">
        <v>#REF!</v>
      </c>
      <c r="BI124" s="63" t="e">
        <v>#REF!</v>
      </c>
      <c r="BJ124" s="63" t="e">
        <v>#REF!</v>
      </c>
      <c r="BK124" s="63" t="e">
        <v>#REF!</v>
      </c>
    </row>
    <row r="125" spans="2:63">
      <c r="B125" s="92" t="e">
        <v>#REF!</v>
      </c>
      <c r="C125" s="92" t="e">
        <v>#REF!</v>
      </c>
      <c r="E125" s="92" t="e">
        <v>#REF!</v>
      </c>
      <c r="F125" s="92" t="e">
        <v>#REF!</v>
      </c>
      <c r="M125" s="63" t="e">
        <v>#REF!</v>
      </c>
      <c r="N125" s="63" t="e">
        <v>#REF!</v>
      </c>
      <c r="O125" s="63" t="e">
        <v>#REF!</v>
      </c>
      <c r="P125" s="63" t="e">
        <v>#REF!</v>
      </c>
      <c r="Q125" s="63" t="e">
        <v>#REF!</v>
      </c>
      <c r="R125" s="63" t="e">
        <v>#REF!</v>
      </c>
      <c r="S125" s="63" t="e">
        <v>#REF!</v>
      </c>
      <c r="T125" s="63" t="e">
        <v>#REF!</v>
      </c>
      <c r="U125" s="63" t="e">
        <v>#REF!</v>
      </c>
      <c r="V125" s="63" t="e">
        <v>#REF!</v>
      </c>
      <c r="W125" s="63" t="e">
        <v>#REF!</v>
      </c>
      <c r="X125" s="63" t="e">
        <v>#REF!</v>
      </c>
      <c r="Y125" s="63" t="e">
        <v>#REF!</v>
      </c>
      <c r="Z125" s="63" t="e">
        <v>#REF!</v>
      </c>
      <c r="AA125" s="63" t="e">
        <v>#REF!</v>
      </c>
      <c r="AB125" s="63" t="e">
        <v>#REF!</v>
      </c>
      <c r="AC125" s="63" t="e">
        <v>#REF!</v>
      </c>
      <c r="AD125" s="63" t="e">
        <v>#REF!</v>
      </c>
      <c r="AE125" s="63" t="e">
        <v>#REF!</v>
      </c>
      <c r="AF125" s="63" t="e">
        <v>#REF!</v>
      </c>
      <c r="AH125" s="63" t="e">
        <v>#REF!</v>
      </c>
      <c r="AI125" s="63" t="e">
        <v>#REF!</v>
      </c>
      <c r="AJ125" s="63" t="e">
        <v>#REF!</v>
      </c>
      <c r="AK125" s="63" t="e">
        <v>#REF!</v>
      </c>
      <c r="AL125" s="63" t="e">
        <v>#REF!</v>
      </c>
      <c r="AM125" s="63" t="e">
        <v>#REF!</v>
      </c>
      <c r="AN125" s="63" t="e">
        <v>#REF!</v>
      </c>
      <c r="AO125" s="63" t="e">
        <v>#REF!</v>
      </c>
      <c r="AP125" s="63" t="e">
        <v>#REF!</v>
      </c>
      <c r="AQ125" s="63" t="e">
        <v>#REF!</v>
      </c>
      <c r="AR125" s="63" t="e">
        <v>#REF!</v>
      </c>
      <c r="AS125" s="63" t="e">
        <v>#REF!</v>
      </c>
      <c r="AT125" s="63" t="e">
        <v>#REF!</v>
      </c>
      <c r="AU125" s="63" t="e">
        <v>#REF!</v>
      </c>
      <c r="AV125" s="63" t="e">
        <v>#REF!</v>
      </c>
      <c r="AX125" s="63" t="e">
        <v>#REF!</v>
      </c>
      <c r="AY125" s="63" t="e">
        <v>#REF!</v>
      </c>
      <c r="AZ125" s="63" t="e">
        <v>#REF!</v>
      </c>
      <c r="BA125" s="63" t="e">
        <v>#REF!</v>
      </c>
      <c r="BB125" s="63" t="e">
        <v>#REF!</v>
      </c>
      <c r="BC125" s="63" t="e">
        <v>#REF!</v>
      </c>
      <c r="BD125" s="63" t="e">
        <v>#REF!</v>
      </c>
      <c r="BE125" s="63" t="e">
        <v>#REF!</v>
      </c>
      <c r="BF125" s="63" t="e">
        <v>#REF!</v>
      </c>
      <c r="BG125" s="63" t="e">
        <v>#REF!</v>
      </c>
      <c r="BH125" s="63" t="e">
        <v>#REF!</v>
      </c>
      <c r="BI125" s="63" t="e">
        <v>#REF!</v>
      </c>
      <c r="BJ125" s="63" t="e">
        <v>#REF!</v>
      </c>
      <c r="BK125" s="63" t="e">
        <v>#REF!</v>
      </c>
    </row>
    <row r="126" spans="2:63">
      <c r="B126" s="92" t="e">
        <v>#REF!</v>
      </c>
      <c r="C126" s="92" t="e">
        <v>#REF!</v>
      </c>
      <c r="E126" s="92" t="e">
        <v>#REF!</v>
      </c>
      <c r="F126" s="92" t="e">
        <v>#REF!</v>
      </c>
      <c r="M126" s="63" t="e">
        <v>#REF!</v>
      </c>
      <c r="N126" s="63" t="e">
        <v>#REF!</v>
      </c>
      <c r="O126" s="63" t="e">
        <v>#REF!</v>
      </c>
      <c r="P126" s="63" t="e">
        <v>#REF!</v>
      </c>
      <c r="Q126" s="63" t="e">
        <v>#REF!</v>
      </c>
      <c r="R126" s="63" t="e">
        <v>#REF!</v>
      </c>
      <c r="S126" s="63" t="e">
        <v>#REF!</v>
      </c>
      <c r="T126" s="63" t="e">
        <v>#REF!</v>
      </c>
      <c r="U126" s="63" t="e">
        <v>#REF!</v>
      </c>
      <c r="V126" s="63" t="e">
        <v>#REF!</v>
      </c>
      <c r="W126" s="63" t="e">
        <v>#REF!</v>
      </c>
      <c r="X126" s="63" t="e">
        <v>#REF!</v>
      </c>
      <c r="Y126" s="63" t="e">
        <v>#REF!</v>
      </c>
      <c r="Z126" s="63" t="e">
        <v>#REF!</v>
      </c>
      <c r="AA126" s="63" t="e">
        <v>#REF!</v>
      </c>
      <c r="AB126" s="63" t="e">
        <v>#REF!</v>
      </c>
      <c r="AC126" s="63" t="e">
        <v>#REF!</v>
      </c>
      <c r="AD126" s="63" t="e">
        <v>#REF!</v>
      </c>
      <c r="AE126" s="63" t="e">
        <v>#REF!</v>
      </c>
      <c r="AF126" s="63" t="e">
        <v>#REF!</v>
      </c>
      <c r="AH126" s="63" t="e">
        <v>#REF!</v>
      </c>
      <c r="AI126" s="63" t="e">
        <v>#REF!</v>
      </c>
      <c r="AJ126" s="63" t="e">
        <v>#REF!</v>
      </c>
      <c r="AK126" s="63" t="e">
        <v>#REF!</v>
      </c>
      <c r="AL126" s="63" t="e">
        <v>#REF!</v>
      </c>
      <c r="AM126" s="63" t="e">
        <v>#REF!</v>
      </c>
      <c r="AN126" s="63" t="e">
        <v>#REF!</v>
      </c>
      <c r="AO126" s="63" t="e">
        <v>#REF!</v>
      </c>
      <c r="AP126" s="63" t="e">
        <v>#REF!</v>
      </c>
      <c r="AQ126" s="63" t="e">
        <v>#REF!</v>
      </c>
      <c r="AR126" s="63" t="e">
        <v>#REF!</v>
      </c>
      <c r="AS126" s="63" t="e">
        <v>#REF!</v>
      </c>
      <c r="AT126" s="63" t="e">
        <v>#REF!</v>
      </c>
      <c r="AU126" s="63" t="e">
        <v>#REF!</v>
      </c>
      <c r="AV126" s="63" t="e">
        <v>#REF!</v>
      </c>
      <c r="AX126" s="63" t="e">
        <v>#REF!</v>
      </c>
      <c r="AY126" s="63" t="e">
        <v>#REF!</v>
      </c>
      <c r="AZ126" s="63" t="e">
        <v>#REF!</v>
      </c>
      <c r="BA126" s="63" t="e">
        <v>#REF!</v>
      </c>
      <c r="BB126" s="63" t="e">
        <v>#REF!</v>
      </c>
      <c r="BC126" s="63" t="e">
        <v>#REF!</v>
      </c>
      <c r="BD126" s="63" t="e">
        <v>#REF!</v>
      </c>
      <c r="BE126" s="63" t="e">
        <v>#REF!</v>
      </c>
      <c r="BF126" s="63" t="e">
        <v>#REF!</v>
      </c>
      <c r="BG126" s="63" t="e">
        <v>#REF!</v>
      </c>
      <c r="BH126" s="63" t="e">
        <v>#REF!</v>
      </c>
      <c r="BI126" s="63" t="e">
        <v>#REF!</v>
      </c>
      <c r="BJ126" s="63" t="e">
        <v>#REF!</v>
      </c>
      <c r="BK126" s="63" t="e">
        <v>#REF!</v>
      </c>
    </row>
    <row r="127" spans="2:63">
      <c r="B127" s="92" t="e">
        <v>#REF!</v>
      </c>
      <c r="C127" s="92" t="e">
        <v>#REF!</v>
      </c>
      <c r="E127" s="92" t="e">
        <v>#REF!</v>
      </c>
      <c r="F127" s="92" t="e">
        <v>#REF!</v>
      </c>
      <c r="M127" s="63" t="e">
        <v>#REF!</v>
      </c>
      <c r="N127" s="63" t="e">
        <v>#REF!</v>
      </c>
      <c r="O127" s="63" t="e">
        <v>#REF!</v>
      </c>
      <c r="P127" s="63" t="e">
        <v>#REF!</v>
      </c>
      <c r="Q127" s="63" t="e">
        <v>#REF!</v>
      </c>
      <c r="R127" s="63" t="e">
        <v>#REF!</v>
      </c>
      <c r="S127" s="63" t="e">
        <v>#REF!</v>
      </c>
      <c r="T127" s="63" t="e">
        <v>#REF!</v>
      </c>
      <c r="U127" s="63" t="e">
        <v>#REF!</v>
      </c>
      <c r="V127" s="63" t="e">
        <v>#REF!</v>
      </c>
      <c r="W127" s="63" t="e">
        <v>#REF!</v>
      </c>
      <c r="X127" s="63" t="e">
        <v>#REF!</v>
      </c>
      <c r="Y127" s="63" t="e">
        <v>#REF!</v>
      </c>
      <c r="Z127" s="63" t="e">
        <v>#REF!</v>
      </c>
      <c r="AA127" s="63" t="e">
        <v>#REF!</v>
      </c>
      <c r="AB127" s="63" t="e">
        <v>#REF!</v>
      </c>
      <c r="AC127" s="63" t="e">
        <v>#REF!</v>
      </c>
      <c r="AD127" s="63" t="e">
        <v>#REF!</v>
      </c>
      <c r="AE127" s="63" t="e">
        <v>#REF!</v>
      </c>
      <c r="AF127" s="63" t="e">
        <v>#REF!</v>
      </c>
      <c r="AH127" s="63" t="e">
        <v>#REF!</v>
      </c>
      <c r="AI127" s="63" t="e">
        <v>#REF!</v>
      </c>
      <c r="AJ127" s="63" t="e">
        <v>#REF!</v>
      </c>
      <c r="AK127" s="63" t="e">
        <v>#REF!</v>
      </c>
      <c r="AL127" s="63" t="e">
        <v>#REF!</v>
      </c>
      <c r="AM127" s="63" t="e">
        <v>#REF!</v>
      </c>
      <c r="AN127" s="63" t="e">
        <v>#REF!</v>
      </c>
      <c r="AO127" s="63" t="e">
        <v>#REF!</v>
      </c>
      <c r="AP127" s="63" t="e">
        <v>#REF!</v>
      </c>
      <c r="AQ127" s="63" t="e">
        <v>#REF!</v>
      </c>
      <c r="AR127" s="63" t="e">
        <v>#REF!</v>
      </c>
      <c r="AS127" s="63" t="e">
        <v>#REF!</v>
      </c>
      <c r="AT127" s="63" t="e">
        <v>#REF!</v>
      </c>
      <c r="AU127" s="63" t="e">
        <v>#REF!</v>
      </c>
      <c r="AV127" s="63" t="e">
        <v>#REF!</v>
      </c>
      <c r="AX127" s="63" t="e">
        <v>#REF!</v>
      </c>
      <c r="AY127" s="63" t="e">
        <v>#REF!</v>
      </c>
      <c r="AZ127" s="63" t="e">
        <v>#REF!</v>
      </c>
      <c r="BA127" s="63" t="e">
        <v>#REF!</v>
      </c>
      <c r="BB127" s="63" t="e">
        <v>#REF!</v>
      </c>
      <c r="BC127" s="63" t="e">
        <v>#REF!</v>
      </c>
      <c r="BD127" s="63" t="e">
        <v>#REF!</v>
      </c>
      <c r="BE127" s="63" t="e">
        <v>#REF!</v>
      </c>
      <c r="BF127" s="63" t="e">
        <v>#REF!</v>
      </c>
      <c r="BG127" s="63" t="e">
        <v>#REF!</v>
      </c>
      <c r="BH127" s="63" t="e">
        <v>#REF!</v>
      </c>
      <c r="BI127" s="63" t="e">
        <v>#REF!</v>
      </c>
      <c r="BJ127" s="63" t="e">
        <v>#REF!</v>
      </c>
      <c r="BK127" s="63" t="e">
        <v>#REF!</v>
      </c>
    </row>
    <row r="128" spans="2:63">
      <c r="B128" s="92" t="e">
        <v>#REF!</v>
      </c>
      <c r="C128" s="92" t="e">
        <v>#REF!</v>
      </c>
      <c r="E128" s="92" t="e">
        <v>#REF!</v>
      </c>
      <c r="F128" s="92" t="e">
        <v>#REF!</v>
      </c>
      <c r="M128" s="63" t="e">
        <v>#REF!</v>
      </c>
      <c r="N128" s="63" t="e">
        <v>#REF!</v>
      </c>
      <c r="O128" s="63" t="e">
        <v>#REF!</v>
      </c>
      <c r="P128" s="63" t="e">
        <v>#REF!</v>
      </c>
      <c r="Q128" s="63" t="e">
        <v>#REF!</v>
      </c>
      <c r="R128" s="63" t="e">
        <v>#REF!</v>
      </c>
      <c r="S128" s="63" t="e">
        <v>#REF!</v>
      </c>
      <c r="T128" s="63" t="e">
        <v>#REF!</v>
      </c>
      <c r="U128" s="63" t="e">
        <v>#REF!</v>
      </c>
      <c r="V128" s="63" t="e">
        <v>#REF!</v>
      </c>
      <c r="W128" s="63" t="e">
        <v>#REF!</v>
      </c>
      <c r="X128" s="63" t="e">
        <v>#REF!</v>
      </c>
      <c r="Y128" s="63" t="e">
        <v>#REF!</v>
      </c>
      <c r="Z128" s="63" t="e">
        <v>#REF!</v>
      </c>
      <c r="AA128" s="63" t="e">
        <v>#REF!</v>
      </c>
      <c r="AB128" s="63" t="e">
        <v>#REF!</v>
      </c>
      <c r="AC128" s="63" t="e">
        <v>#REF!</v>
      </c>
      <c r="AD128" s="63" t="e">
        <v>#REF!</v>
      </c>
      <c r="AE128" s="63" t="e">
        <v>#REF!</v>
      </c>
      <c r="AF128" s="63" t="e">
        <v>#REF!</v>
      </c>
      <c r="AH128" s="63" t="e">
        <v>#REF!</v>
      </c>
      <c r="AI128" s="63" t="e">
        <v>#REF!</v>
      </c>
      <c r="AJ128" s="63" t="e">
        <v>#REF!</v>
      </c>
      <c r="AK128" s="63" t="e">
        <v>#REF!</v>
      </c>
      <c r="AL128" s="63" t="e">
        <v>#REF!</v>
      </c>
      <c r="AM128" s="63" t="e">
        <v>#REF!</v>
      </c>
      <c r="AN128" s="63" t="e">
        <v>#REF!</v>
      </c>
      <c r="AO128" s="63" t="e">
        <v>#REF!</v>
      </c>
      <c r="AP128" s="63" t="e">
        <v>#REF!</v>
      </c>
      <c r="AQ128" s="63" t="e">
        <v>#REF!</v>
      </c>
      <c r="AR128" s="63" t="e">
        <v>#REF!</v>
      </c>
      <c r="AS128" s="63" t="e">
        <v>#REF!</v>
      </c>
      <c r="AT128" s="63" t="e">
        <v>#REF!</v>
      </c>
      <c r="AU128" s="63" t="e">
        <v>#REF!</v>
      </c>
      <c r="AV128" s="63" t="e">
        <v>#REF!</v>
      </c>
      <c r="AX128" s="63" t="e">
        <v>#REF!</v>
      </c>
      <c r="AY128" s="63" t="e">
        <v>#REF!</v>
      </c>
      <c r="AZ128" s="63" t="e">
        <v>#REF!</v>
      </c>
      <c r="BA128" s="63" t="e">
        <v>#REF!</v>
      </c>
      <c r="BB128" s="63" t="e">
        <v>#REF!</v>
      </c>
      <c r="BC128" s="63" t="e">
        <v>#REF!</v>
      </c>
      <c r="BD128" s="63" t="e">
        <v>#REF!</v>
      </c>
      <c r="BE128" s="63" t="e">
        <v>#REF!</v>
      </c>
      <c r="BF128" s="63" t="e">
        <v>#REF!</v>
      </c>
      <c r="BG128" s="63" t="e">
        <v>#REF!</v>
      </c>
      <c r="BH128" s="63" t="e">
        <v>#REF!</v>
      </c>
      <c r="BI128" s="63" t="e">
        <v>#REF!</v>
      </c>
      <c r="BJ128" s="63" t="e">
        <v>#REF!</v>
      </c>
      <c r="BK128" s="63" t="e">
        <v>#REF!</v>
      </c>
    </row>
    <row r="129" spans="2:63">
      <c r="B129" s="92" t="e">
        <v>#REF!</v>
      </c>
      <c r="C129" s="92" t="e">
        <v>#REF!</v>
      </c>
      <c r="E129" s="92" t="e">
        <v>#REF!</v>
      </c>
      <c r="F129" s="92" t="e">
        <v>#REF!</v>
      </c>
      <c r="M129" s="63" t="e">
        <v>#REF!</v>
      </c>
      <c r="N129" s="63" t="e">
        <v>#REF!</v>
      </c>
      <c r="O129" s="63" t="e">
        <v>#REF!</v>
      </c>
      <c r="P129" s="63" t="e">
        <v>#REF!</v>
      </c>
      <c r="Q129" s="63" t="e">
        <v>#REF!</v>
      </c>
      <c r="R129" s="63" t="e">
        <v>#REF!</v>
      </c>
      <c r="S129" s="63" t="e">
        <v>#REF!</v>
      </c>
      <c r="T129" s="63" t="e">
        <v>#REF!</v>
      </c>
      <c r="U129" s="63" t="e">
        <v>#REF!</v>
      </c>
      <c r="V129" s="63" t="e">
        <v>#REF!</v>
      </c>
      <c r="W129" s="63" t="e">
        <v>#REF!</v>
      </c>
      <c r="X129" s="63" t="e">
        <v>#REF!</v>
      </c>
      <c r="Y129" s="63" t="e">
        <v>#REF!</v>
      </c>
      <c r="Z129" s="63" t="e">
        <v>#REF!</v>
      </c>
      <c r="AA129" s="63" t="e">
        <v>#REF!</v>
      </c>
      <c r="AB129" s="63" t="e">
        <v>#REF!</v>
      </c>
      <c r="AC129" s="63" t="e">
        <v>#REF!</v>
      </c>
      <c r="AD129" s="63" t="e">
        <v>#REF!</v>
      </c>
      <c r="AE129" s="63" t="e">
        <v>#REF!</v>
      </c>
      <c r="AF129" s="63" t="e">
        <v>#REF!</v>
      </c>
      <c r="AH129" s="63" t="e">
        <v>#REF!</v>
      </c>
      <c r="AI129" s="63" t="e">
        <v>#REF!</v>
      </c>
      <c r="AJ129" s="63" t="e">
        <v>#REF!</v>
      </c>
      <c r="AK129" s="63" t="e">
        <v>#REF!</v>
      </c>
      <c r="AL129" s="63" t="e">
        <v>#REF!</v>
      </c>
      <c r="AM129" s="63" t="e">
        <v>#REF!</v>
      </c>
      <c r="AN129" s="63" t="e">
        <v>#REF!</v>
      </c>
      <c r="AO129" s="63" t="e">
        <v>#REF!</v>
      </c>
      <c r="AP129" s="63" t="e">
        <v>#REF!</v>
      </c>
      <c r="AQ129" s="63" t="e">
        <v>#REF!</v>
      </c>
      <c r="AR129" s="63" t="e">
        <v>#REF!</v>
      </c>
      <c r="AS129" s="63" t="e">
        <v>#REF!</v>
      </c>
      <c r="AT129" s="63" t="e">
        <v>#REF!</v>
      </c>
      <c r="AU129" s="63" t="e">
        <v>#REF!</v>
      </c>
      <c r="AV129" s="63" t="e">
        <v>#REF!</v>
      </c>
      <c r="AX129" s="63" t="e">
        <v>#REF!</v>
      </c>
      <c r="AY129" s="63" t="e">
        <v>#REF!</v>
      </c>
      <c r="AZ129" s="63" t="e">
        <v>#REF!</v>
      </c>
      <c r="BA129" s="63" t="e">
        <v>#REF!</v>
      </c>
      <c r="BB129" s="63" t="e">
        <v>#REF!</v>
      </c>
      <c r="BC129" s="63" t="e">
        <v>#REF!</v>
      </c>
      <c r="BD129" s="63" t="e">
        <v>#REF!</v>
      </c>
      <c r="BE129" s="63" t="e">
        <v>#REF!</v>
      </c>
      <c r="BF129" s="63" t="e">
        <v>#REF!</v>
      </c>
      <c r="BG129" s="63" t="e">
        <v>#REF!</v>
      </c>
      <c r="BH129" s="63" t="e">
        <v>#REF!</v>
      </c>
      <c r="BI129" s="63" t="e">
        <v>#REF!</v>
      </c>
      <c r="BJ129" s="63" t="e">
        <v>#REF!</v>
      </c>
      <c r="BK129" s="63" t="e">
        <v>#REF!</v>
      </c>
    </row>
    <row r="130" spans="2:63">
      <c r="B130" s="92" t="e">
        <v>#REF!</v>
      </c>
      <c r="C130" s="92" t="e">
        <v>#REF!</v>
      </c>
      <c r="E130" s="92" t="e">
        <v>#REF!</v>
      </c>
      <c r="F130" s="92" t="e">
        <v>#REF!</v>
      </c>
      <c r="M130" s="63" t="e">
        <v>#REF!</v>
      </c>
      <c r="N130" s="63" t="e">
        <v>#REF!</v>
      </c>
      <c r="O130" s="63" t="e">
        <v>#REF!</v>
      </c>
      <c r="P130" s="63" t="e">
        <v>#REF!</v>
      </c>
      <c r="Q130" s="63" t="e">
        <v>#REF!</v>
      </c>
      <c r="R130" s="63" t="e">
        <v>#REF!</v>
      </c>
      <c r="S130" s="63" t="e">
        <v>#REF!</v>
      </c>
      <c r="T130" s="63" t="e">
        <v>#REF!</v>
      </c>
      <c r="U130" s="63" t="e">
        <v>#REF!</v>
      </c>
      <c r="V130" s="63" t="e">
        <v>#REF!</v>
      </c>
      <c r="W130" s="63" t="e">
        <v>#REF!</v>
      </c>
      <c r="X130" s="63" t="e">
        <v>#REF!</v>
      </c>
      <c r="Y130" s="63" t="e">
        <v>#REF!</v>
      </c>
      <c r="Z130" s="63" t="e">
        <v>#REF!</v>
      </c>
      <c r="AA130" s="63" t="e">
        <v>#REF!</v>
      </c>
      <c r="AB130" s="63" t="e">
        <v>#REF!</v>
      </c>
      <c r="AC130" s="63" t="e">
        <v>#REF!</v>
      </c>
      <c r="AD130" s="63" t="e">
        <v>#REF!</v>
      </c>
      <c r="AE130" s="63" t="e">
        <v>#REF!</v>
      </c>
      <c r="AF130" s="63" t="e">
        <v>#REF!</v>
      </c>
      <c r="AH130" s="63" t="e">
        <v>#REF!</v>
      </c>
      <c r="AI130" s="63" t="e">
        <v>#REF!</v>
      </c>
      <c r="AJ130" s="63" t="e">
        <v>#REF!</v>
      </c>
      <c r="AK130" s="63" t="e">
        <v>#REF!</v>
      </c>
      <c r="AL130" s="63" t="e">
        <v>#REF!</v>
      </c>
      <c r="AM130" s="63" t="e">
        <v>#REF!</v>
      </c>
      <c r="AN130" s="63" t="e">
        <v>#REF!</v>
      </c>
      <c r="AO130" s="63" t="e">
        <v>#REF!</v>
      </c>
      <c r="AP130" s="63" t="e">
        <v>#REF!</v>
      </c>
      <c r="AQ130" s="63" t="e">
        <v>#REF!</v>
      </c>
      <c r="AR130" s="63" t="e">
        <v>#REF!</v>
      </c>
      <c r="AS130" s="63" t="e">
        <v>#REF!</v>
      </c>
      <c r="AT130" s="63" t="e">
        <v>#REF!</v>
      </c>
      <c r="AU130" s="63" t="e">
        <v>#REF!</v>
      </c>
      <c r="AV130" s="63" t="e">
        <v>#REF!</v>
      </c>
      <c r="AX130" s="63" t="e">
        <v>#REF!</v>
      </c>
      <c r="AY130" s="63" t="e">
        <v>#REF!</v>
      </c>
      <c r="AZ130" s="63" t="e">
        <v>#REF!</v>
      </c>
      <c r="BA130" s="63" t="e">
        <v>#REF!</v>
      </c>
      <c r="BB130" s="63" t="e">
        <v>#REF!</v>
      </c>
      <c r="BC130" s="63" t="e">
        <v>#REF!</v>
      </c>
      <c r="BD130" s="63" t="e">
        <v>#REF!</v>
      </c>
      <c r="BE130" s="63" t="e">
        <v>#REF!</v>
      </c>
      <c r="BF130" s="63" t="e">
        <v>#REF!</v>
      </c>
      <c r="BG130" s="63" t="e">
        <v>#REF!</v>
      </c>
      <c r="BH130" s="63" t="e">
        <v>#REF!</v>
      </c>
      <c r="BI130" s="63" t="e">
        <v>#REF!</v>
      </c>
      <c r="BJ130" s="63" t="e">
        <v>#REF!</v>
      </c>
      <c r="BK130" s="63" t="e">
        <v>#REF!</v>
      </c>
    </row>
    <row r="131" spans="2:63">
      <c r="B131" s="92" t="e">
        <v>#REF!</v>
      </c>
      <c r="C131" s="92" t="e">
        <v>#REF!</v>
      </c>
      <c r="E131" s="92" t="e">
        <v>#REF!</v>
      </c>
      <c r="F131" s="92" t="e">
        <v>#REF!</v>
      </c>
      <c r="M131" s="63" t="e">
        <v>#REF!</v>
      </c>
      <c r="N131" s="63" t="e">
        <v>#REF!</v>
      </c>
      <c r="O131" s="63" t="e">
        <v>#REF!</v>
      </c>
      <c r="P131" s="63" t="e">
        <v>#REF!</v>
      </c>
      <c r="Q131" s="63" t="e">
        <v>#REF!</v>
      </c>
      <c r="R131" s="63" t="e">
        <v>#REF!</v>
      </c>
      <c r="S131" s="63" t="e">
        <v>#REF!</v>
      </c>
      <c r="T131" s="63" t="e">
        <v>#REF!</v>
      </c>
      <c r="U131" s="63" t="e">
        <v>#REF!</v>
      </c>
      <c r="V131" s="63" t="e">
        <v>#REF!</v>
      </c>
      <c r="W131" s="63" t="e">
        <v>#REF!</v>
      </c>
      <c r="X131" s="63" t="e">
        <v>#REF!</v>
      </c>
      <c r="Y131" s="63" t="e">
        <v>#REF!</v>
      </c>
      <c r="Z131" s="63" t="e">
        <v>#REF!</v>
      </c>
      <c r="AA131" s="63" t="e">
        <v>#REF!</v>
      </c>
      <c r="AB131" s="63" t="e">
        <v>#REF!</v>
      </c>
      <c r="AC131" s="63" t="e">
        <v>#REF!</v>
      </c>
      <c r="AD131" s="63" t="e">
        <v>#REF!</v>
      </c>
      <c r="AE131" s="63" t="e">
        <v>#REF!</v>
      </c>
      <c r="AF131" s="63" t="e">
        <v>#REF!</v>
      </c>
      <c r="AH131" s="63" t="e">
        <v>#REF!</v>
      </c>
      <c r="AI131" s="63" t="e">
        <v>#REF!</v>
      </c>
      <c r="AJ131" s="63" t="e">
        <v>#REF!</v>
      </c>
      <c r="AK131" s="63" t="e">
        <v>#REF!</v>
      </c>
      <c r="AL131" s="63" t="e">
        <v>#REF!</v>
      </c>
      <c r="AM131" s="63" t="e">
        <v>#REF!</v>
      </c>
      <c r="AN131" s="63" t="e">
        <v>#REF!</v>
      </c>
      <c r="AO131" s="63" t="e">
        <v>#REF!</v>
      </c>
      <c r="AP131" s="63" t="e">
        <v>#REF!</v>
      </c>
      <c r="AQ131" s="63" t="e">
        <v>#REF!</v>
      </c>
      <c r="AR131" s="63" t="e">
        <v>#REF!</v>
      </c>
      <c r="AS131" s="63" t="e">
        <v>#REF!</v>
      </c>
      <c r="AT131" s="63" t="e">
        <v>#REF!</v>
      </c>
      <c r="AU131" s="63" t="e">
        <v>#REF!</v>
      </c>
      <c r="AV131" s="63" t="e">
        <v>#REF!</v>
      </c>
      <c r="AX131" s="63" t="e">
        <v>#REF!</v>
      </c>
      <c r="AY131" s="63" t="e">
        <v>#REF!</v>
      </c>
      <c r="AZ131" s="63" t="e">
        <v>#REF!</v>
      </c>
      <c r="BA131" s="63" t="e">
        <v>#REF!</v>
      </c>
      <c r="BB131" s="63" t="e">
        <v>#REF!</v>
      </c>
      <c r="BC131" s="63" t="e">
        <v>#REF!</v>
      </c>
      <c r="BD131" s="63" t="e">
        <v>#REF!</v>
      </c>
      <c r="BE131" s="63" t="e">
        <v>#REF!</v>
      </c>
      <c r="BF131" s="63" t="e">
        <v>#REF!</v>
      </c>
      <c r="BG131" s="63" t="e">
        <v>#REF!</v>
      </c>
      <c r="BH131" s="63" t="e">
        <v>#REF!</v>
      </c>
      <c r="BI131" s="63" t="e">
        <v>#REF!</v>
      </c>
      <c r="BJ131" s="63" t="e">
        <v>#REF!</v>
      </c>
      <c r="BK131" s="63" t="e">
        <v>#REF!</v>
      </c>
    </row>
    <row r="132" spans="2:63">
      <c r="B132" s="92" t="e">
        <v>#REF!</v>
      </c>
      <c r="C132" s="92" t="e">
        <v>#REF!</v>
      </c>
      <c r="E132" s="92" t="e">
        <v>#REF!</v>
      </c>
      <c r="F132" s="92" t="e">
        <v>#REF!</v>
      </c>
      <c r="M132" s="63" t="e">
        <v>#REF!</v>
      </c>
      <c r="N132" s="63" t="e">
        <v>#REF!</v>
      </c>
      <c r="O132" s="63" t="e">
        <v>#REF!</v>
      </c>
      <c r="P132" s="63" t="e">
        <v>#REF!</v>
      </c>
      <c r="Q132" s="63" t="e">
        <v>#REF!</v>
      </c>
      <c r="R132" s="63" t="e">
        <v>#REF!</v>
      </c>
      <c r="S132" s="63" t="e">
        <v>#REF!</v>
      </c>
      <c r="T132" s="63" t="e">
        <v>#REF!</v>
      </c>
      <c r="U132" s="63" t="e">
        <v>#REF!</v>
      </c>
      <c r="V132" s="63" t="e">
        <v>#REF!</v>
      </c>
      <c r="W132" s="63" t="e">
        <v>#REF!</v>
      </c>
      <c r="X132" s="63" t="e">
        <v>#REF!</v>
      </c>
      <c r="Y132" s="63" t="e">
        <v>#REF!</v>
      </c>
      <c r="Z132" s="63" t="e">
        <v>#REF!</v>
      </c>
      <c r="AA132" s="63" t="e">
        <v>#REF!</v>
      </c>
      <c r="AB132" s="63" t="e">
        <v>#REF!</v>
      </c>
      <c r="AC132" s="63" t="e">
        <v>#REF!</v>
      </c>
      <c r="AD132" s="63" t="e">
        <v>#REF!</v>
      </c>
      <c r="AE132" s="63" t="e">
        <v>#REF!</v>
      </c>
      <c r="AF132" s="63" t="e">
        <v>#REF!</v>
      </c>
      <c r="AH132" s="63" t="e">
        <v>#REF!</v>
      </c>
      <c r="AI132" s="63" t="e">
        <v>#REF!</v>
      </c>
      <c r="AJ132" s="63" t="e">
        <v>#REF!</v>
      </c>
      <c r="AK132" s="63" t="e">
        <v>#REF!</v>
      </c>
      <c r="AL132" s="63" t="e">
        <v>#REF!</v>
      </c>
      <c r="AM132" s="63" t="e">
        <v>#REF!</v>
      </c>
      <c r="AN132" s="63" t="e">
        <v>#REF!</v>
      </c>
      <c r="AO132" s="63" t="e">
        <v>#REF!</v>
      </c>
      <c r="AP132" s="63" t="e">
        <v>#REF!</v>
      </c>
      <c r="AQ132" s="63" t="e">
        <v>#REF!</v>
      </c>
      <c r="AR132" s="63" t="e">
        <v>#REF!</v>
      </c>
      <c r="AS132" s="63" t="e">
        <v>#REF!</v>
      </c>
      <c r="AT132" s="63" t="e">
        <v>#REF!</v>
      </c>
      <c r="AU132" s="63" t="e">
        <v>#REF!</v>
      </c>
      <c r="AV132" s="63" t="e">
        <v>#REF!</v>
      </c>
      <c r="AX132" s="63" t="e">
        <v>#REF!</v>
      </c>
      <c r="AY132" s="63" t="e">
        <v>#REF!</v>
      </c>
      <c r="AZ132" s="63" t="e">
        <v>#REF!</v>
      </c>
      <c r="BA132" s="63" t="e">
        <v>#REF!</v>
      </c>
      <c r="BB132" s="63" t="e">
        <v>#REF!</v>
      </c>
      <c r="BC132" s="63" t="e">
        <v>#REF!</v>
      </c>
      <c r="BD132" s="63" t="e">
        <v>#REF!</v>
      </c>
      <c r="BE132" s="63" t="e">
        <v>#REF!</v>
      </c>
      <c r="BF132" s="63" t="e">
        <v>#REF!</v>
      </c>
      <c r="BG132" s="63" t="e">
        <v>#REF!</v>
      </c>
      <c r="BH132" s="63" t="e">
        <v>#REF!</v>
      </c>
      <c r="BI132" s="63" t="e">
        <v>#REF!</v>
      </c>
      <c r="BJ132" s="63" t="e">
        <v>#REF!</v>
      </c>
      <c r="BK132" s="63" t="e">
        <v>#REF!</v>
      </c>
    </row>
    <row r="133" spans="2:63">
      <c r="B133" s="92" t="e">
        <v>#REF!</v>
      </c>
      <c r="C133" s="92" t="e">
        <v>#REF!</v>
      </c>
      <c r="E133" s="92" t="e">
        <v>#REF!</v>
      </c>
      <c r="F133" s="92" t="e">
        <v>#REF!</v>
      </c>
      <c r="M133" s="63" t="e">
        <v>#REF!</v>
      </c>
      <c r="N133" s="63" t="e">
        <v>#REF!</v>
      </c>
      <c r="O133" s="63" t="e">
        <v>#REF!</v>
      </c>
      <c r="P133" s="63" t="e">
        <v>#REF!</v>
      </c>
      <c r="Q133" s="63" t="e">
        <v>#REF!</v>
      </c>
      <c r="R133" s="63" t="e">
        <v>#REF!</v>
      </c>
      <c r="S133" s="63" t="e">
        <v>#REF!</v>
      </c>
      <c r="T133" s="63" t="e">
        <v>#REF!</v>
      </c>
      <c r="U133" s="63" t="e">
        <v>#REF!</v>
      </c>
      <c r="V133" s="63" t="e">
        <v>#REF!</v>
      </c>
      <c r="W133" s="63" t="e">
        <v>#REF!</v>
      </c>
      <c r="X133" s="63" t="e">
        <v>#REF!</v>
      </c>
      <c r="Y133" s="63" t="e">
        <v>#REF!</v>
      </c>
      <c r="Z133" s="63" t="e">
        <v>#REF!</v>
      </c>
      <c r="AA133" s="63" t="e">
        <v>#REF!</v>
      </c>
      <c r="AB133" s="63" t="e">
        <v>#REF!</v>
      </c>
      <c r="AC133" s="63" t="e">
        <v>#REF!</v>
      </c>
      <c r="AD133" s="63" t="e">
        <v>#REF!</v>
      </c>
      <c r="AE133" s="63" t="e">
        <v>#REF!</v>
      </c>
      <c r="AF133" s="63" t="e">
        <v>#REF!</v>
      </c>
      <c r="AH133" s="63" t="e">
        <v>#REF!</v>
      </c>
      <c r="AI133" s="63" t="e">
        <v>#REF!</v>
      </c>
      <c r="AJ133" s="63" t="e">
        <v>#REF!</v>
      </c>
      <c r="AK133" s="63" t="e">
        <v>#REF!</v>
      </c>
      <c r="AL133" s="63" t="e">
        <v>#REF!</v>
      </c>
      <c r="AM133" s="63" t="e">
        <v>#REF!</v>
      </c>
      <c r="AN133" s="63" t="e">
        <v>#REF!</v>
      </c>
      <c r="AO133" s="63" t="e">
        <v>#REF!</v>
      </c>
      <c r="AP133" s="63" t="e">
        <v>#REF!</v>
      </c>
      <c r="AQ133" s="63" t="e">
        <v>#REF!</v>
      </c>
      <c r="AR133" s="63" t="e">
        <v>#REF!</v>
      </c>
      <c r="AS133" s="63" t="e">
        <v>#REF!</v>
      </c>
      <c r="AT133" s="63" t="e">
        <v>#REF!</v>
      </c>
      <c r="AU133" s="63" t="e">
        <v>#REF!</v>
      </c>
      <c r="AV133" s="63" t="e">
        <v>#REF!</v>
      </c>
      <c r="AX133" s="63" t="e">
        <v>#REF!</v>
      </c>
      <c r="AY133" s="63" t="e">
        <v>#REF!</v>
      </c>
      <c r="AZ133" s="63" t="e">
        <v>#REF!</v>
      </c>
      <c r="BA133" s="63" t="e">
        <v>#REF!</v>
      </c>
      <c r="BB133" s="63" t="e">
        <v>#REF!</v>
      </c>
      <c r="BC133" s="63" t="e">
        <v>#REF!</v>
      </c>
      <c r="BD133" s="63" t="e">
        <v>#REF!</v>
      </c>
      <c r="BE133" s="63" t="e">
        <v>#REF!</v>
      </c>
      <c r="BF133" s="63" t="e">
        <v>#REF!</v>
      </c>
      <c r="BG133" s="63" t="e">
        <v>#REF!</v>
      </c>
      <c r="BH133" s="63" t="e">
        <v>#REF!</v>
      </c>
      <c r="BI133" s="63" t="e">
        <v>#REF!</v>
      </c>
      <c r="BJ133" s="63" t="e">
        <v>#REF!</v>
      </c>
      <c r="BK133" s="63" t="e">
        <v>#REF!</v>
      </c>
    </row>
    <row r="134" spans="2:63">
      <c r="B134" s="92" t="e">
        <v>#REF!</v>
      </c>
      <c r="C134" s="92" t="e">
        <v>#REF!</v>
      </c>
      <c r="E134" s="92" t="e">
        <v>#REF!</v>
      </c>
      <c r="F134" s="92" t="e">
        <v>#REF!</v>
      </c>
      <c r="M134" s="63" t="e">
        <v>#REF!</v>
      </c>
      <c r="N134" s="63" t="e">
        <v>#REF!</v>
      </c>
      <c r="O134" s="63" t="e">
        <v>#REF!</v>
      </c>
      <c r="P134" s="63" t="e">
        <v>#REF!</v>
      </c>
      <c r="Q134" s="63" t="e">
        <v>#REF!</v>
      </c>
      <c r="R134" s="63" t="e">
        <v>#REF!</v>
      </c>
      <c r="S134" s="63" t="e">
        <v>#REF!</v>
      </c>
      <c r="T134" s="63" t="e">
        <v>#REF!</v>
      </c>
      <c r="U134" s="63" t="e">
        <v>#REF!</v>
      </c>
      <c r="V134" s="63" t="e">
        <v>#REF!</v>
      </c>
      <c r="W134" s="63" t="e">
        <v>#REF!</v>
      </c>
      <c r="X134" s="63" t="e">
        <v>#REF!</v>
      </c>
      <c r="Y134" s="63" t="e">
        <v>#REF!</v>
      </c>
      <c r="Z134" s="63" t="e">
        <v>#REF!</v>
      </c>
      <c r="AA134" s="63" t="e">
        <v>#REF!</v>
      </c>
      <c r="AB134" s="63" t="e">
        <v>#REF!</v>
      </c>
      <c r="AC134" s="63" t="e">
        <v>#REF!</v>
      </c>
      <c r="AD134" s="63" t="e">
        <v>#REF!</v>
      </c>
      <c r="AE134" s="63" t="e">
        <v>#REF!</v>
      </c>
      <c r="AF134" s="63" t="e">
        <v>#REF!</v>
      </c>
      <c r="AH134" s="63" t="e">
        <v>#REF!</v>
      </c>
      <c r="AI134" s="63" t="e">
        <v>#REF!</v>
      </c>
      <c r="AJ134" s="63" t="e">
        <v>#REF!</v>
      </c>
      <c r="AK134" s="63" t="e">
        <v>#REF!</v>
      </c>
      <c r="AL134" s="63" t="e">
        <v>#REF!</v>
      </c>
      <c r="AM134" s="63" t="e">
        <v>#REF!</v>
      </c>
      <c r="AN134" s="63" t="e">
        <v>#REF!</v>
      </c>
      <c r="AO134" s="63" t="e">
        <v>#REF!</v>
      </c>
      <c r="AP134" s="63" t="e">
        <v>#REF!</v>
      </c>
      <c r="AQ134" s="63" t="e">
        <v>#REF!</v>
      </c>
      <c r="AR134" s="63" t="e">
        <v>#REF!</v>
      </c>
      <c r="AS134" s="63" t="e">
        <v>#REF!</v>
      </c>
      <c r="AT134" s="63" t="e">
        <v>#REF!</v>
      </c>
      <c r="AU134" s="63" t="e">
        <v>#REF!</v>
      </c>
      <c r="AV134" s="63" t="e">
        <v>#REF!</v>
      </c>
      <c r="AX134" s="63" t="e">
        <v>#REF!</v>
      </c>
      <c r="AY134" s="63" t="e">
        <v>#REF!</v>
      </c>
      <c r="AZ134" s="63" t="e">
        <v>#REF!</v>
      </c>
      <c r="BA134" s="63" t="e">
        <v>#REF!</v>
      </c>
      <c r="BB134" s="63" t="e">
        <v>#REF!</v>
      </c>
      <c r="BC134" s="63" t="e">
        <v>#REF!</v>
      </c>
      <c r="BD134" s="63" t="e">
        <v>#REF!</v>
      </c>
      <c r="BE134" s="63" t="e">
        <v>#REF!</v>
      </c>
      <c r="BF134" s="63" t="e">
        <v>#REF!</v>
      </c>
      <c r="BG134" s="63" t="e">
        <v>#REF!</v>
      </c>
      <c r="BH134" s="63" t="e">
        <v>#REF!</v>
      </c>
      <c r="BI134" s="63" t="e">
        <v>#REF!</v>
      </c>
      <c r="BJ134" s="63" t="e">
        <v>#REF!</v>
      </c>
      <c r="BK134" s="63" t="e">
        <v>#REF!</v>
      </c>
    </row>
    <row r="135" spans="2:63">
      <c r="B135" s="92" t="e">
        <v>#REF!</v>
      </c>
      <c r="C135" s="92" t="e">
        <v>#REF!</v>
      </c>
      <c r="E135" s="92" t="e">
        <v>#REF!</v>
      </c>
      <c r="F135" s="92" t="e">
        <v>#REF!</v>
      </c>
      <c r="M135" s="63" t="e">
        <v>#REF!</v>
      </c>
      <c r="N135" s="63" t="e">
        <v>#REF!</v>
      </c>
      <c r="O135" s="63" t="e">
        <v>#REF!</v>
      </c>
      <c r="P135" s="63" t="e">
        <v>#REF!</v>
      </c>
      <c r="Q135" s="63" t="e">
        <v>#REF!</v>
      </c>
      <c r="R135" s="63" t="e">
        <v>#REF!</v>
      </c>
      <c r="S135" s="63" t="e">
        <v>#REF!</v>
      </c>
      <c r="T135" s="63" t="e">
        <v>#REF!</v>
      </c>
      <c r="U135" s="63" t="e">
        <v>#REF!</v>
      </c>
      <c r="V135" s="63" t="e">
        <v>#REF!</v>
      </c>
      <c r="W135" s="63" t="e">
        <v>#REF!</v>
      </c>
      <c r="X135" s="63" t="e">
        <v>#REF!</v>
      </c>
      <c r="Y135" s="63" t="e">
        <v>#REF!</v>
      </c>
      <c r="Z135" s="63" t="e">
        <v>#REF!</v>
      </c>
      <c r="AA135" s="63" t="e">
        <v>#REF!</v>
      </c>
      <c r="AB135" s="63" t="e">
        <v>#REF!</v>
      </c>
      <c r="AC135" s="63" t="e">
        <v>#REF!</v>
      </c>
      <c r="AD135" s="63" t="e">
        <v>#REF!</v>
      </c>
      <c r="AE135" s="63" t="e">
        <v>#REF!</v>
      </c>
      <c r="AF135" s="63" t="e">
        <v>#REF!</v>
      </c>
      <c r="AH135" s="63" t="e">
        <v>#REF!</v>
      </c>
      <c r="AI135" s="63" t="e">
        <v>#REF!</v>
      </c>
      <c r="AJ135" s="63" t="e">
        <v>#REF!</v>
      </c>
      <c r="AK135" s="63" t="e">
        <v>#REF!</v>
      </c>
      <c r="AL135" s="63" t="e">
        <v>#REF!</v>
      </c>
      <c r="AM135" s="63" t="e">
        <v>#REF!</v>
      </c>
      <c r="AN135" s="63" t="e">
        <v>#REF!</v>
      </c>
      <c r="AO135" s="63" t="e">
        <v>#REF!</v>
      </c>
      <c r="AP135" s="63" t="e">
        <v>#REF!</v>
      </c>
      <c r="AQ135" s="63" t="e">
        <v>#REF!</v>
      </c>
      <c r="AR135" s="63" t="e">
        <v>#REF!</v>
      </c>
      <c r="AS135" s="63" t="e">
        <v>#REF!</v>
      </c>
      <c r="AT135" s="63" t="e">
        <v>#REF!</v>
      </c>
      <c r="AU135" s="63" t="e">
        <v>#REF!</v>
      </c>
      <c r="AV135" s="63" t="e">
        <v>#REF!</v>
      </c>
      <c r="AX135" s="63" t="e">
        <v>#REF!</v>
      </c>
      <c r="AY135" s="63" t="e">
        <v>#REF!</v>
      </c>
      <c r="AZ135" s="63" t="e">
        <v>#REF!</v>
      </c>
      <c r="BA135" s="63" t="e">
        <v>#REF!</v>
      </c>
      <c r="BB135" s="63" t="e">
        <v>#REF!</v>
      </c>
      <c r="BC135" s="63" t="e">
        <v>#REF!</v>
      </c>
      <c r="BD135" s="63" t="e">
        <v>#REF!</v>
      </c>
      <c r="BE135" s="63" t="e">
        <v>#REF!</v>
      </c>
      <c r="BF135" s="63" t="e">
        <v>#REF!</v>
      </c>
      <c r="BG135" s="63" t="e">
        <v>#REF!</v>
      </c>
      <c r="BH135" s="63" t="e">
        <v>#REF!</v>
      </c>
      <c r="BI135" s="63" t="e">
        <v>#REF!</v>
      </c>
      <c r="BJ135" s="63" t="e">
        <v>#REF!</v>
      </c>
      <c r="BK135" s="63" t="e">
        <v>#REF!</v>
      </c>
    </row>
    <row r="136" spans="2:63">
      <c r="B136" s="92"/>
      <c r="C136" s="92"/>
      <c r="E136" s="92"/>
      <c r="F136" s="92"/>
      <c r="M136" s="63"/>
      <c r="N136" s="63"/>
      <c r="O136" s="63"/>
      <c r="P136" s="63"/>
      <c r="Q136" s="63"/>
      <c r="R136" s="63"/>
      <c r="S136" s="63"/>
      <c r="T136" s="63"/>
      <c r="U136" s="63"/>
      <c r="V136" s="63"/>
      <c r="W136" s="63"/>
      <c r="X136" s="63"/>
      <c r="Y136" s="63"/>
      <c r="Z136" s="63"/>
      <c r="AA136" s="63"/>
      <c r="AB136" s="63"/>
      <c r="AC136" s="63"/>
      <c r="AD136" s="63"/>
      <c r="AE136" s="63"/>
      <c r="AF136" s="63"/>
      <c r="AH136" s="63"/>
      <c r="AI136" s="63"/>
      <c r="AJ136" s="63"/>
      <c r="AK136" s="63"/>
      <c r="AL136" s="63"/>
      <c r="AM136" s="63"/>
      <c r="AN136" s="63"/>
      <c r="AO136" s="63"/>
      <c r="AP136" s="63"/>
      <c r="AQ136" s="63"/>
      <c r="AR136" s="63"/>
      <c r="AS136" s="63"/>
      <c r="AT136" s="63"/>
      <c r="AU136" s="63"/>
      <c r="AV136" s="63"/>
      <c r="AX136" s="63"/>
      <c r="AY136" s="63"/>
      <c r="AZ136" s="63"/>
      <c r="BA136" s="63"/>
      <c r="BB136" s="63"/>
      <c r="BC136" s="63"/>
      <c r="BD136" s="63"/>
      <c r="BE136" s="63"/>
      <c r="BF136" s="63"/>
      <c r="BG136" s="63"/>
      <c r="BH136" s="63"/>
      <c r="BI136" s="63"/>
      <c r="BJ136" s="63"/>
      <c r="BK136" s="63"/>
    </row>
    <row r="137" spans="2:63">
      <c r="B137" s="92"/>
      <c r="C137" s="92"/>
      <c r="E137" s="92"/>
      <c r="F137" s="92"/>
      <c r="M137" s="63"/>
      <c r="N137" s="63"/>
      <c r="O137" s="63"/>
      <c r="P137" s="63"/>
      <c r="Q137" s="63"/>
      <c r="R137" s="63"/>
      <c r="S137" s="63"/>
      <c r="T137" s="63"/>
      <c r="U137" s="63"/>
      <c r="V137" s="63"/>
      <c r="W137" s="63"/>
      <c r="X137" s="63"/>
      <c r="Y137" s="63"/>
      <c r="Z137" s="63"/>
      <c r="AA137" s="63"/>
      <c r="AB137" s="63"/>
      <c r="AC137" s="63"/>
      <c r="AD137" s="63"/>
      <c r="AE137" s="63"/>
      <c r="AF137" s="63"/>
      <c r="AH137" s="63"/>
      <c r="AI137" s="63"/>
      <c r="AJ137" s="63"/>
      <c r="AK137" s="63"/>
      <c r="AL137" s="63"/>
      <c r="AM137" s="63"/>
      <c r="AN137" s="63"/>
      <c r="AO137" s="63"/>
      <c r="AP137" s="63"/>
      <c r="AQ137" s="63"/>
      <c r="AR137" s="63"/>
      <c r="AS137" s="63"/>
      <c r="AT137" s="63"/>
      <c r="AU137" s="63"/>
      <c r="AV137" s="63"/>
      <c r="AX137" s="63"/>
      <c r="AY137" s="63"/>
      <c r="AZ137" s="63"/>
      <c r="BA137" s="63"/>
      <c r="BB137" s="63"/>
      <c r="BC137" s="63"/>
      <c r="BD137" s="63"/>
      <c r="BE137" s="63"/>
      <c r="BF137" s="63"/>
      <c r="BG137" s="63"/>
      <c r="BH137" s="63"/>
      <c r="BI137" s="63"/>
      <c r="BJ137" s="63"/>
      <c r="BK137" s="63"/>
    </row>
  </sheetData>
  <phoneticPr fontId="3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12</vt:i4>
      </vt:variant>
    </vt:vector>
  </HeadingPairs>
  <TitlesOfParts>
    <vt:vector size="12" baseType="lpstr">
      <vt:lpstr>Readme</vt:lpstr>
      <vt:lpstr>Oxide input (EPMA) wt.%</vt:lpstr>
      <vt:lpstr>Wet chemistry input (XRF)</vt:lpstr>
      <vt:lpstr>Elemental input (wt.%)</vt:lpstr>
      <vt:lpstr>Fe3+ from PerpleX (wt.%) O2</vt:lpstr>
      <vt:lpstr>apfu input (or at %)</vt:lpstr>
      <vt:lpstr>Fe2O3 to FeO</vt:lpstr>
      <vt:lpstr>Gadgets</vt:lpstr>
      <vt:lpstr>Bulk rock references</vt:lpstr>
      <vt:lpstr>FeO_EDS_Mgt</vt:lpstr>
      <vt:lpstr>MW</vt:lpstr>
      <vt:lpstr>CSpace</vt:lpstr>
    </vt:vector>
  </TitlesOfParts>
  <Company>Geosciences Montpellier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Alberto Padron-Navarta</dc:creator>
  <cp:lastModifiedBy>Microsoft Office User</cp:lastModifiedBy>
  <dcterms:created xsi:type="dcterms:W3CDTF">2018-02-21T15:32:27Z</dcterms:created>
  <dcterms:modified xsi:type="dcterms:W3CDTF">2025-03-18T17:58:41Z</dcterms:modified>
</cp:coreProperties>
</file>